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45" windowHeight="9345" activeTab="1"/>
  </bookViews>
  <sheets>
    <sheet name="Bao cao cong khai" sheetId="1" r:id="rId1"/>
    <sheet name="Bieu mau 24" sheetId="2" r:id="rId2"/>
    <sheet name="PB NSNN - 2016 " sheetId="3" r:id="rId3"/>
  </sheets>
  <definedNames>
    <definedName name="_xlnm.Print_Titles" localSheetId="2">'PB NSNN - 2016 '!$6:$7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F1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30tr/giáo trình</t>
        </r>
      </text>
    </comment>
  </commentList>
</comments>
</file>

<file path=xl/sharedStrings.xml><?xml version="1.0" encoding="utf-8"?>
<sst xmlns="http://schemas.openxmlformats.org/spreadsheetml/2006/main" count="437" uniqueCount="345">
  <si>
    <t>Nội dung thu</t>
  </si>
  <si>
    <t>1. Đào tạo ĐH chính quy</t>
  </si>
  <si>
    <t xml:space="preserve"> - Số SV phải nộp học phí</t>
  </si>
  <si>
    <t xml:space="preserve"> - Số được miễn học phí</t>
  </si>
  <si>
    <t xml:space="preserve"> - Số được giảm học phí</t>
  </si>
  <si>
    <t>2. Đào tạo HS Phổ thông chuyên</t>
  </si>
  <si>
    <t xml:space="preserve"> - Số học sinh</t>
  </si>
  <si>
    <t>3. Đào tạo SĐH</t>
  </si>
  <si>
    <t>4. Đào tạo Tại chức</t>
  </si>
  <si>
    <t>5. Đào tạo VB2</t>
  </si>
  <si>
    <t>6. Đào tạo Chuyên tu</t>
  </si>
  <si>
    <t>d. Thực hiện chính sách miễn giảm, học bổng</t>
  </si>
  <si>
    <t xml:space="preserve"> - Cán bộ giảng dạy</t>
  </si>
  <si>
    <t xml:space="preserve"> - Cán bộ quản lý</t>
  </si>
  <si>
    <t xml:space="preserve"> - Cán bộ phục vụ</t>
  </si>
  <si>
    <t>Kính gửi: Phòng Hành chính tổng hợp</t>
  </si>
  <si>
    <t>Định mức</t>
  </si>
  <si>
    <t>Số lượng</t>
  </si>
  <si>
    <t xml:space="preserve">       Lệ phí tuyển sinh  ĐHTC, VB2, Chuyên tu...</t>
  </si>
  <si>
    <t xml:space="preserve"> - Đào tạo thạc sỹ: + Học phí phải thu</t>
  </si>
  <si>
    <t xml:space="preserve"> - Đào tạo tiến sỹ:  + Học phí phải thu</t>
  </si>
  <si>
    <t>c. Ngân sách Nhà nước cấp (biểu chi tiết kèm theo)</t>
  </si>
  <si>
    <t xml:space="preserve"> - Sinh viên hệ sư phạm không phải nộp học phí</t>
  </si>
  <si>
    <t xml:space="preserve"> - Số SV được miễn HP (tính cả hệ sư phạm)</t>
  </si>
  <si>
    <t>Thành tiền</t>
  </si>
  <si>
    <t xml:space="preserve">    + HB học sinh PTCN (chi 9 tháng)</t>
  </si>
  <si>
    <t xml:space="preserve">    + Học bổng sinh viên CLC (chi 10 tháng)</t>
  </si>
  <si>
    <t xml:space="preserve">                                                      + Mức B</t>
  </si>
  <si>
    <t xml:space="preserve">                                                      + Mức C</t>
  </si>
  <si>
    <t>Dự kiến thu (đ.vị: đồng)</t>
  </si>
  <si>
    <t xml:space="preserve"> </t>
  </si>
  <si>
    <t xml:space="preserve">    Số học viên phải nộp HP     + Liên kết Nước ngoài</t>
  </si>
  <si>
    <t xml:space="preserve"> - Dự toán kinh phí cấp học bổng khuyến khích</t>
  </si>
  <si>
    <t xml:space="preserve"> - Hệ không chuyên</t>
  </si>
  <si>
    <t xml:space="preserve">                                                      + Mức A</t>
  </si>
  <si>
    <t>200.000đ/tháng</t>
  </si>
  <si>
    <t>150.000đ/tháng</t>
  </si>
  <si>
    <t>90.000đ/tháng</t>
  </si>
  <si>
    <t>60.000đ/tháng</t>
  </si>
  <si>
    <t xml:space="preserve">    Số học viên phải nộp HP     + Liên kết với Pháp</t>
  </si>
  <si>
    <t xml:space="preserve">                                               + Liên kết Mỹ</t>
  </si>
  <si>
    <t>240.000đ/tháng</t>
  </si>
  <si>
    <t>1.050.000đ/tháng</t>
  </si>
  <si>
    <t>420.000 đ</t>
  </si>
  <si>
    <t xml:space="preserve">  ĐẠI HỌC QUỐC GIA HÀ NỘI</t>
  </si>
  <si>
    <t>Biểu mẫu 24-Bộ GD&amp;ĐT</t>
  </si>
  <si>
    <t>TRƯỜNG ĐẠI HỌC NGOẠI NGỮ</t>
  </si>
  <si>
    <t>THÔNG BÁO</t>
  </si>
  <si>
    <t>TT</t>
  </si>
  <si>
    <t>Nội dung</t>
  </si>
  <si>
    <t>Đơn vị tính</t>
  </si>
  <si>
    <t>Học phí 1SV/năm</t>
  </si>
  <si>
    <t>I</t>
  </si>
  <si>
    <t xml:space="preserve">triệu đồng/năm </t>
  </si>
  <si>
    <t>Tiến sỹ</t>
  </si>
  <si>
    <t>Thạc sỹ</t>
  </si>
  <si>
    <t>Đại học</t>
  </si>
  <si>
    <t>II</t>
  </si>
  <si>
    <t>...</t>
  </si>
  <si>
    <t>IV</t>
  </si>
  <si>
    <t>tỷ đồng</t>
  </si>
  <si>
    <t>Từ ngân sách</t>
  </si>
  <si>
    <t>Từ học phí, lệ phí</t>
  </si>
  <si>
    <t>Từ nghiên cứu khoc học và chuyển giao công nghệ</t>
  </si>
  <si>
    <t>Từ nguồn khác</t>
  </si>
  <si>
    <t xml:space="preserve">             Người lập biểu</t>
  </si>
  <si>
    <t>Thủ trưởng đơn vị</t>
  </si>
  <si>
    <t xml:space="preserve">           (Ký, ghi rõ họ tên)</t>
  </si>
  <si>
    <t>(Ký tên và đóng dấu)</t>
  </si>
  <si>
    <t>b. Thu từ dịch vụ(theo dự toán)</t>
  </si>
  <si>
    <t xml:space="preserve">   ĐẠI HỌC QUỐC GIA HÀ NỘI</t>
  </si>
  <si>
    <t xml:space="preserve"> TRƯỜNG ĐẠI HỌC NGOẠI NGỮ</t>
  </si>
  <si>
    <t>Stt</t>
  </si>
  <si>
    <t>Nội dung nhiệm vụ</t>
  </si>
  <si>
    <t>Từ nguồn thu sự nghiêp</t>
  </si>
  <si>
    <t>DT cấp năm 2013</t>
  </si>
  <si>
    <t>Số thu phí, lệ phí</t>
  </si>
  <si>
    <t xml:space="preserve"> - Học phí chính quy</t>
  </si>
  <si>
    <t xml:space="preserve"> - Phí, lệ phí khác</t>
  </si>
  <si>
    <t>Chi tiết nguồn thu phí, lệ phí được để lại</t>
  </si>
  <si>
    <t xml:space="preserve"> - Chi giảng dạy, NCKHSV, hoạt động khác</t>
  </si>
  <si>
    <t xml:space="preserve"> - Để lại 40% để cải cách tiền lương</t>
  </si>
  <si>
    <t xml:space="preserve">  SỰ NGHIỆP GD-ĐT</t>
  </si>
  <si>
    <t>Kinh phí thường xuyên</t>
  </si>
  <si>
    <t>1.1</t>
  </si>
  <si>
    <t>1.1.1</t>
  </si>
  <si>
    <t>Quỹ lương theo chỉ tiêu nhân lực được giao</t>
  </si>
  <si>
    <t>1.1.2</t>
  </si>
  <si>
    <t>TK chi để CCTL</t>
  </si>
  <si>
    <t>1.1.4</t>
  </si>
  <si>
    <t xml:space="preserve">Phụ cấp thâm niên </t>
  </si>
  <si>
    <t>1.1.5</t>
  </si>
  <si>
    <t>Chi đào tạo PTNK</t>
  </si>
  <si>
    <t>1.1.6</t>
  </si>
  <si>
    <t xml:space="preserve">Chi đào tạo Cử nhân CLC </t>
  </si>
  <si>
    <t>1.1.7</t>
  </si>
  <si>
    <t xml:space="preserve">Chi thường xuyên ĐHCQ </t>
  </si>
  <si>
    <t>1.1.8</t>
  </si>
  <si>
    <t>Chi bù học phí sư phạm</t>
  </si>
  <si>
    <t>1.1.9</t>
  </si>
  <si>
    <t>Chi đào tạo lưu HS theo diện HĐ của CP</t>
  </si>
  <si>
    <t>1.1.10</t>
  </si>
  <si>
    <t>1.1.11</t>
  </si>
  <si>
    <t>Chi thực hiện các chỉ tiêu KHNV</t>
  </si>
  <si>
    <t>1.1.12</t>
  </si>
  <si>
    <t>Chi biên soạn giáo trình, tài liệu</t>
  </si>
  <si>
    <t>1.1.13</t>
  </si>
  <si>
    <t>Chi hỗ trợ giảng dạy bổ túc CĐR QH 2011</t>
  </si>
  <si>
    <t>1.2</t>
  </si>
  <si>
    <t>1.2.1</t>
  </si>
  <si>
    <t>Chi thường xuyên (gồm giảng dạy NN trong ĐHQG)</t>
  </si>
  <si>
    <t>1.2.2</t>
  </si>
  <si>
    <t>Kinh phí không thường xuyên</t>
  </si>
  <si>
    <t>2.1</t>
  </si>
  <si>
    <t xml:space="preserve">SỰ NGHIỆP KHOA HỌC CÔNG NGHỆ </t>
  </si>
  <si>
    <t>Đề tài cơ sở</t>
  </si>
  <si>
    <t>Hoạt động KHCN</t>
  </si>
  <si>
    <t>1.3</t>
  </si>
  <si>
    <t>Đề tài nhóm B</t>
  </si>
  <si>
    <t>III</t>
  </si>
  <si>
    <t>CHƯƠNG TRÌNH MỤC TIÊU GDĐT</t>
  </si>
  <si>
    <t xml:space="preserve">  SỰ NGHIỆP GD -ĐT</t>
  </si>
  <si>
    <t xml:space="preserve"> KINH PHÍ THƯỜNG XUYÊN</t>
  </si>
  <si>
    <t xml:space="preserve"> Loại 490 - khoản 502</t>
  </si>
  <si>
    <t>Chi đào tạo PTCN (PTCN lập DT phần HP)</t>
  </si>
  <si>
    <t xml:space="preserve"> +</t>
  </si>
  <si>
    <t>Chi lương biên chế</t>
  </si>
  <si>
    <t>Chi lương hợp đồng có thời hạn</t>
  </si>
  <si>
    <t>Chi phụ cấp ưu đãi (0,7)</t>
  </si>
  <si>
    <t>Các khoản đóng góp (BHXH+YT+TN+CĐ)</t>
  </si>
  <si>
    <t>Chi học bổng học sinh</t>
  </si>
  <si>
    <t>Chi ăn giữa ca</t>
  </si>
  <si>
    <t>Chi quỹ lương Đại học</t>
  </si>
  <si>
    <t xml:space="preserve">Cải cách tiền lương </t>
  </si>
  <si>
    <t xml:space="preserve">Chi lương cơ bản </t>
  </si>
  <si>
    <t xml:space="preserve">P/C chức vụ </t>
  </si>
  <si>
    <t>Chi phụ cấp ưu đãi (0,4)</t>
  </si>
  <si>
    <t>Chi lương HĐ đồng BH</t>
  </si>
  <si>
    <t>Các khoản đóng góp (BH+KPCĐ HĐ)</t>
  </si>
  <si>
    <t xml:space="preserve"> - Bảo hiểm XH+YT+TN</t>
  </si>
  <si>
    <t xml:space="preserve"> - Kinh phí công đoàn</t>
  </si>
  <si>
    <t>Làm thêm giờ, độc hại</t>
  </si>
  <si>
    <t>1.1.3</t>
  </si>
  <si>
    <t>Chi cho các hoạt động thường xuyên</t>
  </si>
  <si>
    <t>Chi thu nhập tăng thêm</t>
  </si>
  <si>
    <t>Chi khám sức khỏe định kỳ</t>
  </si>
  <si>
    <t>Chi hỗ trợ trang phục</t>
  </si>
  <si>
    <t xml:space="preserve"> - Chi học bổng khuyến khích học tập</t>
  </si>
  <si>
    <t xml:space="preserve"> - Chi trợ cấp SV hộ nghèo, hoàn cảnh KK</t>
  </si>
  <si>
    <t xml:space="preserve"> Dịch vụ công cộng             </t>
  </si>
  <si>
    <t xml:space="preserve"> - Điện</t>
  </si>
  <si>
    <t xml:space="preserve"> - Vệ sinh </t>
  </si>
  <si>
    <t xml:space="preserve"> - Xăng, dầu</t>
  </si>
  <si>
    <t>Chi phí vật tư văn phòng phẩm</t>
  </si>
  <si>
    <t xml:space="preserve"> - Văn phòng phẩm</t>
  </si>
  <si>
    <t xml:space="preserve"> - Thiết bị văn phòng</t>
  </si>
  <si>
    <t xml:space="preserve">Chi phí thông tin liên lạc                </t>
  </si>
  <si>
    <t xml:space="preserve"> - Sách, báo </t>
  </si>
  <si>
    <t>Chi Hội nghị tổng kết năm học</t>
  </si>
  <si>
    <t xml:space="preserve">Công tác phí  </t>
  </si>
  <si>
    <t xml:space="preserve">Chi phí thuê mướn                           </t>
  </si>
  <si>
    <t xml:space="preserve">Chi phí đoàn ra                           </t>
  </si>
  <si>
    <t xml:space="preserve">Chi phí đoàn vào                        </t>
  </si>
  <si>
    <t xml:space="preserve">Chi phí nghiệp vụ CM gồm:             </t>
  </si>
  <si>
    <t xml:space="preserve"> * Chi theo chỉ tiêu kế hoạch, nhiệm vụ</t>
  </si>
  <si>
    <t xml:space="preserve"> - Điều chỉnh chương trình SĐH</t>
  </si>
  <si>
    <t xml:space="preserve"> - Đánh giá và xếp hạng ĐH</t>
  </si>
  <si>
    <t xml:space="preserve"> - Chế độ CS và điều tra SV tốt nghiệp</t>
  </si>
  <si>
    <t xml:space="preserve"> - Đề tài hợp tác </t>
  </si>
  <si>
    <t xml:space="preserve"> - XD ngân hàng câu hỏi</t>
  </si>
  <si>
    <t xml:space="preserve"> - Cải cách hành chính và áp dụng ISO </t>
  </si>
  <si>
    <t>* Chi biên soạn giáo trình ĐH</t>
  </si>
  <si>
    <t>* Chi giảng dạy CĐR 2011</t>
  </si>
  <si>
    <t xml:space="preserve"> * Nhiệm vụ chiến lược</t>
  </si>
  <si>
    <t xml:space="preserve"> * Chi vượt giờ chuẩn</t>
  </si>
  <si>
    <t xml:space="preserve"> * Chi thực tập sư phạm, phiên dịch</t>
  </si>
  <si>
    <t xml:space="preserve"> * Hỗ trợ phụ cấp CB là ĐUV ĐHQG</t>
  </si>
  <si>
    <t xml:space="preserve"> * Chi đào tạo lưu HS theo diện HĐ của CP</t>
  </si>
  <si>
    <t xml:space="preserve">Mua sắm TS vô hình                   </t>
  </si>
  <si>
    <t xml:space="preserve">Mua sắm TS hữu hình                   </t>
  </si>
  <si>
    <t xml:space="preserve">Cải tạo, sửa chữa thường xuyên TSCĐ </t>
  </si>
  <si>
    <t xml:space="preserve"> - Sửa điện, nước, khác</t>
  </si>
  <si>
    <t xml:space="preserve"> - Sửa chữa tài sản, hạ tầng  </t>
  </si>
  <si>
    <t xml:space="preserve"> + Cải tạo cơ sở hạ tầng khác</t>
  </si>
  <si>
    <t>Các  khoản chi khác</t>
  </si>
  <si>
    <t xml:space="preserve"> Loại 490 - khoản 503 (SĐH)</t>
  </si>
  <si>
    <t>Chi lương, TNTT cho CB khoa SĐH</t>
  </si>
  <si>
    <t>1.2.3</t>
  </si>
  <si>
    <t>Các khoản đóng góp (BH+KPCĐ )</t>
  </si>
  <si>
    <t>1.2.4</t>
  </si>
  <si>
    <t>Giảng dạy+ Hướng dẫn LV,LA (bao gồm dạy trong ĐHQGHN)</t>
  </si>
  <si>
    <t>1.2.5</t>
  </si>
  <si>
    <t>1.2.6</t>
  </si>
  <si>
    <t>Chi CSVC,TB,VPP….</t>
  </si>
  <si>
    <t xml:space="preserve"> KINH PHÍ  KHÔNG THƯỜNG XUYÊN</t>
  </si>
  <si>
    <t>Kinh phí thực hiện nhiệm vụ KHCN</t>
  </si>
  <si>
    <t xml:space="preserve"> Loại 370 - khoản 371</t>
  </si>
  <si>
    <t xml:space="preserve">Đề tài nhóm A/ B </t>
  </si>
  <si>
    <t>1.4</t>
  </si>
  <si>
    <t xml:space="preserve">Hội nghị, hội thảo, hoạt động chung </t>
  </si>
  <si>
    <t>1.5</t>
  </si>
  <si>
    <t>Chuyên san ngoại ngữ</t>
  </si>
  <si>
    <t>CTMT NGÀNH GD ĐT</t>
  </si>
  <si>
    <t>Biên tập, hoàn thiện các bảng định dạng đề thi 6 bậc và các văn bản liên quan</t>
  </si>
  <si>
    <t>Xây dựng định dạng đề thi NLTA bậc 3 đến 5, B1 đến C1 (có thử nghiệm tại các trung tâm khảo thí quốc gia và đối sánh với các bài thi quốc tế định dạng IELTS)</t>
  </si>
  <si>
    <t>Xây dựng, thẩm định tài liệu hướng dẫn viết tiểu mục đề thi bậc 3 đến 5, B1 đến C1</t>
  </si>
  <si>
    <t>Bồi dưỡng năng lực viết tiểu mục đề thi bậc 3 đến 5, B1 đến C1</t>
  </si>
  <si>
    <t>Tập huấn cán bộ tổ chức thi, cán bộ chấm thi nói, chấm thi viết cho các kỳ thi khảo sát đánh giá NLTA bậc 3 đến 5, B1 đến C1 theo ĐANNQG2020</t>
  </si>
  <si>
    <t>2.2</t>
  </si>
  <si>
    <t>Bồi dưỡng năng lực Ngoại ngữ và PPGD</t>
  </si>
  <si>
    <t>3.1</t>
  </si>
  <si>
    <t>Nghiên cứu và giới thiệu 01 mô hình đào tạo cử nhân sư phạm tiếng Anh hiệu quả</t>
  </si>
  <si>
    <t>3.2</t>
  </si>
  <si>
    <t>Xây dựng chương trình bồi dưỡng PPGD và kiểm tra đánh giá cho giảng viên tiếng Anh chuyên ngữ bậc đại học và cao đẳng (300 tiết)</t>
  </si>
  <si>
    <t>3.3</t>
  </si>
  <si>
    <t>Bồi dưỡng PPGD và kiểm tra đánh giá cho giảng viên tiếng Anh ở ĐHQGHN và các trường đại học, cao đẳng (300 tiết)</t>
  </si>
  <si>
    <t>4.1</t>
  </si>
  <si>
    <t>Xây dựng chương trình tiếng Anh trên VOV 05 phút/số, 50 số/năm</t>
  </si>
  <si>
    <t>4.2</t>
  </si>
  <si>
    <t>Tổ chức cuộc thi quốc gia Olympic tiếng Anh không chuyên ở bậc đại học (04 vòng)</t>
  </si>
  <si>
    <t>4.3</t>
  </si>
  <si>
    <t>Tổ chức hội thảo quốc gia chia sẻ kinh nghiệm xây dựng cộng đồng học tập ngoại ngữ</t>
  </si>
  <si>
    <t>5.1</t>
  </si>
  <si>
    <t>Xây dựng chương trình tiếng Nhật tại 3 cấp học từ Tiểu học đến THPT</t>
  </si>
  <si>
    <t>5.2</t>
  </si>
  <si>
    <t>Xây dựng chương trình tiếng Hàn Quốc như ngoại ngữ thứ hai</t>
  </si>
  <si>
    <t>300.000đ/tháng</t>
  </si>
  <si>
    <t>280.000đ/TC</t>
  </si>
  <si>
    <t>29.300.000đ/năm</t>
  </si>
  <si>
    <t xml:space="preserve">  + Học bổng sinh viên (10 tháng)</t>
  </si>
  <si>
    <t>8. Đào tạo bằng kép</t>
  </si>
  <si>
    <t>9. Liên kết đào tạo ĐH với nước ngoài</t>
  </si>
  <si>
    <t>10. Liên kết SĐH</t>
  </si>
  <si>
    <t>11. Lệ phí đăng ký + tuyển sinh SĐH</t>
  </si>
  <si>
    <t>12. Lệ phí tuyển sinh , đăng ký dự thi ĐH</t>
  </si>
  <si>
    <t>Phòng Kế hoạch tài chính</t>
  </si>
  <si>
    <t xml:space="preserve"> CỘNG HOÀ XÃ HỘI CHỦ NGHĨA VIỆT NAM</t>
  </si>
  <si>
    <t xml:space="preserve">              Độc lập - Tự do - Hạnh Phúc</t>
  </si>
  <si>
    <t>Đơn vị: triệu đồng</t>
  </si>
  <si>
    <t>Phối hợp</t>
  </si>
  <si>
    <t>Dự toán đã rút</t>
  </si>
  <si>
    <t xml:space="preserve">Số dư dự toán còn lại </t>
  </si>
  <si>
    <t>Quý 1</t>
  </si>
  <si>
    <t>Quý 2</t>
  </si>
  <si>
    <t>Quý 3</t>
  </si>
  <si>
    <t>Quý 4</t>
  </si>
  <si>
    <t>Tháng 1/2014</t>
  </si>
  <si>
    <t>A</t>
  </si>
  <si>
    <t>B</t>
  </si>
  <si>
    <t xml:space="preserve">  Loại 490 - khoản 502</t>
  </si>
  <si>
    <t xml:space="preserve"> Loại 490 - khoản 503</t>
  </si>
  <si>
    <t xml:space="preserve">Kinh phí cấp bù thi TS SĐH </t>
  </si>
  <si>
    <t>-</t>
  </si>
  <si>
    <t>Loại 370 - khoản 371</t>
  </si>
  <si>
    <t>C</t>
  </si>
  <si>
    <t xml:space="preserve">Chi khen thưởng ĐQHQG + Trường </t>
  </si>
  <si>
    <t>Chi học bổng SV (8%)</t>
  </si>
  <si>
    <t xml:space="preserve"> - Thuê chuyên gia nước ngoài </t>
  </si>
  <si>
    <t xml:space="preserve"> - Hợp đồng tiết</t>
  </si>
  <si>
    <t xml:space="preserve"> - Hoạt động kiểm định tiêu chuẩn Bộ GD ĐT</t>
  </si>
  <si>
    <t xml:space="preserve"> * Hoạt động của ĐTN</t>
  </si>
  <si>
    <t xml:space="preserve"> * Chi bồi dưỡng CM, chi CM khác</t>
  </si>
  <si>
    <t xml:space="preserve"> + Cải tạo sơn nhà A1</t>
  </si>
  <si>
    <t xml:space="preserve"> + Cải tạo giếng ngầm Trường PTCN</t>
  </si>
  <si>
    <t xml:space="preserve"> + Cải tạo phòng 410 nhà A1</t>
  </si>
  <si>
    <t xml:space="preserve"> + Cải tạo cửa nhà A1</t>
  </si>
  <si>
    <t xml:space="preserve"> + Cải tạo phòng 201, 406 nhà A1</t>
  </si>
  <si>
    <t>Xây dựng, điều chỉnh CTCT SĐH</t>
  </si>
  <si>
    <t>1.2.7</t>
  </si>
  <si>
    <t>Dự án Trung tâm thực hành thể chất</t>
  </si>
  <si>
    <t>Dự án Trường PTCNN</t>
  </si>
  <si>
    <t>Xây dựng chương trình nâng cao khả năng sử dụng tiếng Anh</t>
  </si>
  <si>
    <t>Thông báo công khai tài chính cơ sở giáo dục đại học năm học 2016-2017</t>
  </si>
  <si>
    <t>a. Học phí, lệ phí và các khoản thu khác từ người học năm học 2016-2017</t>
  </si>
  <si>
    <t>670.000đ/tháng</t>
  </si>
  <si>
    <t>1.005.000đ/tháng</t>
  </si>
  <si>
    <t>1.675.000/tháng</t>
  </si>
  <si>
    <t>300.000/1TC</t>
  </si>
  <si>
    <t>43.500.000đ/năm</t>
  </si>
  <si>
    <t>48.000.000đ/năm</t>
  </si>
  <si>
    <t>800.000/tháng</t>
  </si>
  <si>
    <t>700.000/tháng</t>
  </si>
  <si>
    <t>590.000/tháng</t>
  </si>
  <si>
    <t>e, Thu nhập bình quân năm 2015</t>
  </si>
  <si>
    <t>TB</t>
  </si>
  <si>
    <t>Tổng thu năm 2015</t>
  </si>
  <si>
    <t>…, ngày … tháng … năm 2016</t>
  </si>
  <si>
    <t>Công khai tài chính của cơ sở giáo dục đại học
Năm học 2016-2017</t>
  </si>
  <si>
    <t>Học phí hệ chính quy chương trình 
đại trà năm học 2016-2017</t>
  </si>
  <si>
    <t>Học phí hệ chính quy chương trình 
khác năm học 2016-2017</t>
  </si>
  <si>
    <t>Học phí hệ vừa học vừa làm tại trường 
năm học 2016-2017</t>
  </si>
  <si>
    <t xml:space="preserve">       KẾ HOẠCH THỰC HIỆN NHIỆM VỤ CHI NGÂN SÁCH NĂM 2016</t>
  </si>
  <si>
    <t xml:space="preserve">      Căn cứ QĐ số 144/QĐ-ĐHQGHN ngày 25/01/2016; QĐ số 954/QĐ-ĐHQGHN ngày 11/4/2016; QĐ số  814/QĐ-ĐHQGHN ngày 30/3/2016; QĐ số  1279/QĐ-ĐHQGHN ngày 10/5/2016;  QĐ 3660/QĐ-ĐHQGHN ngày 14/11/2016 về việc  giao DTNSNN  năm 2016. Trường ĐH Ngoại ngữ thông báo kế hoạch thực hiện nhiệm vụ chi ngân sách như sau:</t>
  </si>
  <si>
    <t>Thực hiện năm 2015</t>
  </si>
  <si>
    <t>DT năm 2015 chuyển sang</t>
  </si>
  <si>
    <t>Dự toán NSNN cấp năm 2016</t>
  </si>
  <si>
    <t>Tiết kiệm CV 5652</t>
  </si>
  <si>
    <t>Dự toán  được chi 2016</t>
  </si>
  <si>
    <t>PHẦN 1: DỰ TOÁN THU PHÍ, LỆ PHÍ</t>
  </si>
  <si>
    <t>PHẦN 2: DỰ TOÁN KINH PHÍ NSNN</t>
  </si>
  <si>
    <t xml:space="preserve">Nhiệm vụ chiến lược </t>
  </si>
  <si>
    <t>Hoỗ trợ chi phí học tập với SV dân tộc thiểu số theo QĐ 66/2013/QĐ-TTg</t>
  </si>
  <si>
    <t>Cộng mục 1 đến 12 phân bổ chi TX</t>
  </si>
  <si>
    <t>PHẦN 3: KẾ HOẠCH CHI</t>
  </si>
  <si>
    <t>Chi CSVC,HĐ tiết và các hoạt động khác</t>
  </si>
  <si>
    <t>Phụ cấp thâm niên năm 2015 (cả 24% BH)</t>
  </si>
  <si>
    <t xml:space="preserve"> - Hỗ trợ chi phí học tập theo QĐ66/2013/QĐ-TTg</t>
  </si>
  <si>
    <t xml:space="preserve"> - Cước điện thoại, viễn thông, internet ...</t>
  </si>
  <si>
    <t xml:space="preserve"> - Chi phí thuê bao cáp truyền hình</t>
  </si>
  <si>
    <t xml:space="preserve"> - Hợp đồng khác, vệ sinh</t>
  </si>
  <si>
    <t xml:space="preserve"> - Biên soạn 6 giáo trình, bài giảng tài liệu</t>
  </si>
  <si>
    <t xml:space="preserve"> - Giải thưởng QT, QG </t>
  </si>
  <si>
    <t xml:space="preserve"> - Kiểm định đồng cấp 2 CT chuẩn AUN</t>
  </si>
  <si>
    <t xml:space="preserve"> - Kiểm định 1 CT theo chuẩn AUN</t>
  </si>
  <si>
    <t xml:space="preserve"> - Phát triển ứng dụng CNTT</t>
  </si>
  <si>
    <t xml:space="preserve"> + QH 2016</t>
  </si>
  <si>
    <t xml:space="preserve"> + HĐ nhiệm vụ</t>
  </si>
  <si>
    <t xml:space="preserve"> + QH 2015</t>
  </si>
  <si>
    <t xml:space="preserve"> + QH 2014</t>
  </si>
  <si>
    <t xml:space="preserve"> * Chi đào tạo Cử nhân CLC (gồm học bổng) </t>
  </si>
  <si>
    <t xml:space="preserve"> * Chi mua sách và biên mục sách TT Học liệu</t>
  </si>
  <si>
    <t xml:space="preserve"> * Bồi dưỡng chuyên môn cán bộ, chuyên viên</t>
  </si>
  <si>
    <t xml:space="preserve"> * Nâng cấp hạ tầng CNTT</t>
  </si>
  <si>
    <t xml:space="preserve"> * Lấy ý kiến phản hồi của người học</t>
  </si>
  <si>
    <t xml:space="preserve"> + Mua sắm thiết bị các đơn vị</t>
  </si>
  <si>
    <t xml:space="preserve"> + Mua sắm thiết bị các giảng đường</t>
  </si>
  <si>
    <t xml:space="preserve"> + Mua sắm thiết bị nhà khách A5</t>
  </si>
  <si>
    <t xml:space="preserve"> + Mua sắm bàn ghế các giảng đường</t>
  </si>
  <si>
    <t xml:space="preserve"> - Sửa ô tô, máy móc thiết bị</t>
  </si>
  <si>
    <t xml:space="preserve"> + Quyết toán các công trình năm trước chuyển sang (Sửa chữa nhà A2, A4, B3,hạ tầng khoa Pháp,...)</t>
  </si>
  <si>
    <t xml:space="preserve"> + Cải tạo khu vệ sinh, tường, trần nhà A2</t>
  </si>
  <si>
    <t xml:space="preserve"> + Phá dỡ rào cũ phía Tây, xây lại hàng rào</t>
  </si>
  <si>
    <t xml:space="preserve"> + Cải tạo tầng 7 nhà A1, cải tạo kho tầng 6</t>
  </si>
  <si>
    <t xml:space="preserve"> + Cải tạo, sửa chữa nhỏ phòng làm việc, giảng đường, hành lang phía Tây nhà B2, Hoa sắt tầng 1 khu Ulis-Sunwah, nhà Thể chất </t>
  </si>
  <si>
    <t xml:space="preserve"> + Làm gờ giảm tốc</t>
  </si>
  <si>
    <t xml:space="preserve"> + Cải tạo chiếu sáng nhà A1, A3, VĐL</t>
  </si>
  <si>
    <t>1.2.8</t>
  </si>
  <si>
    <t>Hỗ trợ kiểm định AUN</t>
  </si>
  <si>
    <t>1.2.9</t>
  </si>
  <si>
    <t>Các khoản chi khác</t>
  </si>
  <si>
    <t>Hội nghị khoa học SV</t>
  </si>
  <si>
    <t xml:space="preserve">Hoạt động chuyên môn khoa học công nghệ </t>
  </si>
  <si>
    <t>1.6</t>
  </si>
  <si>
    <t xml:space="preserve">             Hà Nội, ngày  23  tháng 6 năm 2016</t>
  </si>
  <si>
    <t xml:space="preserve">         Hiệu trưởng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</si>
</sst>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#"/>
    <numFmt numFmtId="165" formatCode="_(* #,##0_);_(* \(#,##0\);_(* &quot;-&quot;??_);_(@_)"/>
    <numFmt numFmtId="166" formatCode="###\ ###\ ###"/>
    <numFmt numFmtId="167" formatCode="###\ ###\ ###\ ###\ "/>
    <numFmt numFmtId="168" formatCode="#,##0.0"/>
    <numFmt numFmtId="169" formatCode="#,##0.000"/>
    <numFmt numFmtId="170" formatCode="_(* #,##0.000_);_(* \(#,##0.000\);_(* &quot;-&quot;??_);_(@_)"/>
  </numFmts>
  <fonts count="121">
    <font>
      <sz val="14"/>
      <name val=".VnTime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.VnTime"/>
      <family val="2"/>
    </font>
    <font>
      <b/>
      <sz val="12"/>
      <name val=".VnTimeH"/>
      <family val="2"/>
    </font>
    <font>
      <sz val="12"/>
      <name val=".VnTime"/>
      <family val="2"/>
    </font>
    <font>
      <sz val="11"/>
      <name val=".VnTime"/>
      <family val="2"/>
    </font>
    <font>
      <b/>
      <sz val="11"/>
      <name val=".VnTimeH"/>
      <family val="2"/>
    </font>
    <font>
      <b/>
      <sz val="10"/>
      <name val=".VnTimeH"/>
      <family val="2"/>
    </font>
    <font>
      <i/>
      <sz val="12"/>
      <name val=".VnTime"/>
      <family val="2"/>
    </font>
    <font>
      <i/>
      <sz val="11"/>
      <name val=".VnTime"/>
      <family val="2"/>
    </font>
    <font>
      <i/>
      <sz val="11"/>
      <name val="Times New Roman"/>
      <family val="1"/>
    </font>
    <font>
      <sz val="11"/>
      <name val=".VnTimeH"/>
      <family val="2"/>
    </font>
    <font>
      <sz val="12"/>
      <name val=".VnTimeH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name val=".VnTime"/>
      <family val="2"/>
    </font>
    <font>
      <b/>
      <sz val="11"/>
      <color indexed="8"/>
      <name val="Times New Roman"/>
      <family val="1"/>
    </font>
    <font>
      <sz val="12"/>
      <name val="Cambria"/>
      <family val="1"/>
    </font>
    <font>
      <sz val="11"/>
      <color indexed="8"/>
      <name val="Times New Roman"/>
      <family val="1"/>
    </font>
    <font>
      <sz val="13"/>
      <name val=".VnTime"/>
      <family val="2"/>
    </font>
    <font>
      <sz val="11"/>
      <name val="Cambria"/>
      <family val="1"/>
    </font>
    <font>
      <b/>
      <sz val="12"/>
      <name val="Cambria"/>
      <family val="1"/>
    </font>
    <font>
      <b/>
      <sz val="12"/>
      <color indexed="8"/>
      <name val=".VnTime"/>
      <family val="2"/>
    </font>
    <font>
      <b/>
      <sz val="12"/>
      <color indexed="8"/>
      <name val="Cambria"/>
      <family val="1"/>
    </font>
    <font>
      <sz val="12"/>
      <color indexed="8"/>
      <name val=".VnTime"/>
      <family val="2"/>
    </font>
    <font>
      <sz val="12"/>
      <color indexed="8"/>
      <name val="Cambria"/>
      <family val="1"/>
    </font>
    <font>
      <b/>
      <sz val="12"/>
      <color indexed="8"/>
      <name val=".VnTimeH"/>
      <family val="2"/>
    </font>
    <font>
      <b/>
      <sz val="10"/>
      <color indexed="8"/>
      <name val=".VnTimeH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.VnTime"/>
      <family val="2"/>
    </font>
    <font>
      <sz val="11"/>
      <color indexed="8"/>
      <name val=".VnTime"/>
      <family val="2"/>
    </font>
    <font>
      <b/>
      <sz val="10"/>
      <color indexed="8"/>
      <name val=".VnTime"/>
      <family val="2"/>
    </font>
    <font>
      <b/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.VnTime"/>
      <family val="2"/>
    </font>
    <font>
      <i/>
      <sz val="10"/>
      <color indexed="8"/>
      <name val="Times New Roman"/>
      <family val="1"/>
    </font>
    <font>
      <i/>
      <sz val="12"/>
      <color indexed="8"/>
      <name val="Cambria"/>
      <family val="1"/>
    </font>
    <font>
      <i/>
      <sz val="12"/>
      <color indexed="8"/>
      <name val=".VnTime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Cambria"/>
      <family val="1"/>
    </font>
    <font>
      <i/>
      <sz val="11"/>
      <color indexed="8"/>
      <name val="Times New Roman"/>
      <family val="1"/>
    </font>
    <font>
      <sz val="12"/>
      <color indexed="8"/>
      <name val=".VnTimeH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.VnTime"/>
      <family val="2"/>
    </font>
    <font>
      <b/>
      <sz val="12"/>
      <color theme="1"/>
      <name val="Cambria"/>
      <family val="1"/>
    </font>
    <font>
      <sz val="12"/>
      <color theme="1"/>
      <name val=".VnTime"/>
      <family val="2"/>
    </font>
    <font>
      <sz val="12"/>
      <color theme="1"/>
      <name val="Cambria"/>
      <family val="1"/>
    </font>
    <font>
      <b/>
      <sz val="12"/>
      <color theme="1"/>
      <name val=".VnTimeH"/>
      <family val="2"/>
    </font>
    <font>
      <b/>
      <sz val="10"/>
      <color theme="1"/>
      <name val=".VnTimeH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.VnTime"/>
      <family val="2"/>
    </font>
    <font>
      <sz val="11"/>
      <color theme="1"/>
      <name val=".VnTime"/>
      <family val="2"/>
    </font>
    <font>
      <b/>
      <sz val="10"/>
      <color theme="1"/>
      <name val=".VnTime"/>
      <family val="2"/>
    </font>
    <font>
      <b/>
      <u val="single"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theme="1"/>
      <name val=".VnTime"/>
      <family val="2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Cambria"/>
      <family val="1"/>
    </font>
    <font>
      <i/>
      <sz val="12"/>
      <color theme="1"/>
      <name val=".VnTime"/>
      <family val="2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theme="1"/>
      <name val="Cambria"/>
      <family val="1"/>
    </font>
    <font>
      <i/>
      <sz val="11"/>
      <color theme="1"/>
      <name val="Times New Roman"/>
      <family val="1"/>
    </font>
    <font>
      <sz val="12"/>
      <color theme="1"/>
      <name val=".VnTimeH"/>
      <family val="2"/>
    </font>
    <font>
      <b/>
      <sz val="8"/>
      <name val=".VnTim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0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16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6" xfId="0" applyFont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64" fontId="4" fillId="0" borderId="17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0" fontId="4" fillId="0" borderId="0" xfId="57" applyFont="1">
      <alignment/>
      <protection/>
    </xf>
    <xf numFmtId="0" fontId="6" fillId="0" borderId="13" xfId="57" applyFont="1" applyBorder="1" applyAlignment="1">
      <alignment horizontal="center" wrapText="1"/>
      <protection/>
    </xf>
    <xf numFmtId="0" fontId="6" fillId="0" borderId="13" xfId="57" applyFont="1" applyBorder="1" applyAlignment="1">
      <alignment horizontal="center"/>
      <protection/>
    </xf>
    <xf numFmtId="0" fontId="6" fillId="0" borderId="0" xfId="57" applyFont="1">
      <alignment/>
      <protection/>
    </xf>
    <xf numFmtId="0" fontId="6" fillId="0" borderId="13" xfId="57" applyFont="1" applyBorder="1" applyAlignment="1">
      <alignment horizontal="left" wrapText="1"/>
      <protection/>
    </xf>
    <xf numFmtId="0" fontId="9" fillId="0" borderId="13" xfId="57" applyFont="1" applyBorder="1" applyAlignment="1">
      <alignment horizontal="center" wrapText="1"/>
      <protection/>
    </xf>
    <xf numFmtId="0" fontId="9" fillId="0" borderId="18" xfId="57" applyFont="1" applyBorder="1" applyAlignment="1">
      <alignment horizontal="center" vertical="top" wrapText="1"/>
      <protection/>
    </xf>
    <xf numFmtId="0" fontId="9" fillId="0" borderId="18" xfId="57" applyFont="1" applyBorder="1" applyAlignment="1">
      <alignment horizontal="justify" vertical="top" wrapText="1"/>
      <protection/>
    </xf>
    <xf numFmtId="0" fontId="6" fillId="0" borderId="18" xfId="57" applyFont="1" applyBorder="1" applyAlignment="1">
      <alignment horizontal="center"/>
      <protection/>
    </xf>
    <xf numFmtId="0" fontId="6" fillId="0" borderId="18" xfId="57" applyFont="1" applyBorder="1" applyAlignment="1">
      <alignment horizontal="left"/>
      <protection/>
    </xf>
    <xf numFmtId="0" fontId="4" fillId="0" borderId="18" xfId="57" applyFont="1" applyBorder="1">
      <alignment/>
      <protection/>
    </xf>
    <xf numFmtId="0" fontId="4" fillId="0" borderId="18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10" fillId="0" borderId="0" xfId="57" applyFont="1" applyAlignment="1">
      <alignment/>
      <protection/>
    </xf>
    <xf numFmtId="0" fontId="7" fillId="0" borderId="0" xfId="57" applyFont="1" applyAlignment="1">
      <alignment/>
      <protection/>
    </xf>
    <xf numFmtId="0" fontId="9" fillId="0" borderId="0" xfId="57" applyFont="1">
      <alignment/>
      <protection/>
    </xf>
    <xf numFmtId="3" fontId="8" fillId="0" borderId="0" xfId="57" applyNumberFormat="1" applyFont="1">
      <alignment/>
      <protection/>
    </xf>
    <xf numFmtId="3" fontId="7" fillId="0" borderId="0" xfId="57" applyNumberFormat="1" applyFont="1">
      <alignment/>
      <protection/>
    </xf>
    <xf numFmtId="3" fontId="4" fillId="0" borderId="0" xfId="57" applyNumberFormat="1" applyFont="1">
      <alignment/>
      <protection/>
    </xf>
    <xf numFmtId="3" fontId="6" fillId="0" borderId="18" xfId="57" applyNumberFormat="1" applyFont="1" applyBorder="1" applyAlignment="1">
      <alignment horizontal="center" wrapText="1"/>
      <protection/>
    </xf>
    <xf numFmtId="3" fontId="6" fillId="0" borderId="13" xfId="57" applyNumberFormat="1" applyFont="1" applyBorder="1" applyAlignment="1">
      <alignment horizontal="center" wrapText="1"/>
      <protection/>
    </xf>
    <xf numFmtId="3" fontId="4" fillId="0" borderId="18" xfId="57" applyNumberFormat="1" applyFont="1" applyBorder="1" applyAlignment="1">
      <alignment horizontal="right" vertical="top" wrapText="1"/>
      <protection/>
    </xf>
    <xf numFmtId="3" fontId="6" fillId="0" borderId="13" xfId="57" applyNumberFormat="1" applyFont="1" applyBorder="1" applyAlignment="1">
      <alignment horizontal="right" wrapText="1"/>
      <protection/>
    </xf>
    <xf numFmtId="3" fontId="4" fillId="0" borderId="18" xfId="57" applyNumberFormat="1" applyFont="1" applyBorder="1" applyAlignment="1">
      <alignment horizontal="right"/>
      <protection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3" fontId="4" fillId="0" borderId="11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3" fontId="4" fillId="0" borderId="13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8" fontId="4" fillId="0" borderId="18" xfId="57" applyNumberFormat="1" applyFont="1" applyBorder="1" applyAlignment="1">
      <alignment horizontal="right" vertical="top" wrapText="1"/>
      <protection/>
    </xf>
    <xf numFmtId="169" fontId="4" fillId="0" borderId="18" xfId="57" applyNumberFormat="1" applyFont="1" applyBorder="1" applyAlignment="1">
      <alignment horizontal="right" vertical="top" wrapText="1"/>
      <protection/>
    </xf>
    <xf numFmtId="164" fontId="4" fillId="0" borderId="0" xfId="0" applyNumberFormat="1" applyFont="1" applyFill="1" applyBorder="1" applyAlignment="1">
      <alignment/>
    </xf>
    <xf numFmtId="0" fontId="11" fillId="0" borderId="0" xfId="56" applyFont="1" applyAlignment="1">
      <alignment vertical="center"/>
      <protection/>
    </xf>
    <xf numFmtId="164" fontId="11" fillId="0" borderId="0" xfId="56" applyNumberFormat="1" applyFont="1" applyAlignment="1">
      <alignment vertical="center"/>
      <protection/>
    </xf>
    <xf numFmtId="164" fontId="24" fillId="0" borderId="0" xfId="56" applyNumberFormat="1" applyFont="1" applyAlignment="1">
      <alignment vertical="center"/>
      <protection/>
    </xf>
    <xf numFmtId="165" fontId="11" fillId="0" borderId="0" xfId="44" applyNumberFormat="1" applyFont="1" applyAlignment="1">
      <alignment horizontal="right" vertical="center"/>
    </xf>
    <xf numFmtId="165" fontId="12" fillId="0" borderId="0" xfId="44" applyNumberFormat="1" applyFont="1" applyAlignment="1">
      <alignment vertical="center"/>
    </xf>
    <xf numFmtId="165" fontId="93" fillId="0" borderId="0" xfId="44" applyNumberFormat="1" applyFont="1" applyAlignment="1">
      <alignment vertical="center"/>
    </xf>
    <xf numFmtId="164" fontId="12" fillId="0" borderId="0" xfId="56" applyNumberFormat="1" applyFont="1" applyAlignment="1">
      <alignment vertical="center"/>
      <protection/>
    </xf>
    <xf numFmtId="0" fontId="31" fillId="0" borderId="0" xfId="56" applyFont="1">
      <alignment/>
      <protection/>
    </xf>
    <xf numFmtId="165" fontId="31" fillId="0" borderId="0" xfId="44" applyNumberFormat="1" applyFont="1" applyAlignment="1">
      <alignment/>
    </xf>
    <xf numFmtId="0" fontId="15" fillId="0" borderId="0" xfId="56">
      <alignment/>
      <protection/>
    </xf>
    <xf numFmtId="0" fontId="12" fillId="0" borderId="0" xfId="56" applyFont="1" applyAlignment="1">
      <alignment vertical="center"/>
      <protection/>
    </xf>
    <xf numFmtId="165" fontId="6" fillId="0" borderId="0" xfId="44" applyNumberFormat="1" applyFont="1" applyAlignment="1">
      <alignment vertical="center"/>
    </xf>
    <xf numFmtId="165" fontId="94" fillId="0" borderId="0" xfId="44" applyNumberFormat="1" applyFont="1" applyAlignment="1">
      <alignment vertical="center"/>
    </xf>
    <xf numFmtId="164" fontId="6" fillId="0" borderId="0" xfId="56" applyNumberFormat="1" applyFont="1" applyAlignment="1">
      <alignment vertical="center"/>
      <protection/>
    </xf>
    <xf numFmtId="0" fontId="4" fillId="0" borderId="0" xfId="56" applyFont="1" applyAlignment="1">
      <alignment vertical="center"/>
      <protection/>
    </xf>
    <xf numFmtId="164" fontId="3" fillId="0" borderId="0" xfId="56" applyNumberFormat="1" applyFont="1" applyAlignment="1">
      <alignment vertical="center"/>
      <protection/>
    </xf>
    <xf numFmtId="164" fontId="25" fillId="0" borderId="0" xfId="56" applyNumberFormat="1" applyFont="1" applyAlignment="1">
      <alignment vertical="center"/>
      <protection/>
    </xf>
    <xf numFmtId="165" fontId="11" fillId="0" borderId="0" xfId="44" applyNumberFormat="1" applyFont="1" applyAlignment="1">
      <alignment vertical="center"/>
    </xf>
    <xf numFmtId="165" fontId="95" fillId="0" borderId="0" xfId="44" applyNumberFormat="1" applyFont="1" applyAlignment="1">
      <alignment vertical="center"/>
    </xf>
    <xf numFmtId="0" fontId="11" fillId="0" borderId="0" xfId="56" applyFont="1" applyAlignment="1">
      <alignment vertical="center"/>
      <protection/>
    </xf>
    <xf numFmtId="3" fontId="26" fillId="0" borderId="0" xfId="56" applyNumberFormat="1" applyFont="1" applyAlignment="1">
      <alignment horizontal="left" vertical="center" wrapText="1"/>
      <protection/>
    </xf>
    <xf numFmtId="3" fontId="33" fillId="0" borderId="0" xfId="56" applyNumberFormat="1" applyFont="1" applyAlignment="1">
      <alignment horizontal="left" vertical="center" wrapText="1"/>
      <protection/>
    </xf>
    <xf numFmtId="0" fontId="35" fillId="0" borderId="0" xfId="56" applyFont="1">
      <alignment/>
      <protection/>
    </xf>
    <xf numFmtId="165" fontId="35" fillId="0" borderId="0" xfId="44" applyNumberFormat="1" applyFont="1" applyAlignment="1">
      <alignment/>
    </xf>
    <xf numFmtId="0" fontId="13" fillId="0" borderId="0" xfId="56" applyFont="1">
      <alignment/>
      <protection/>
    </xf>
    <xf numFmtId="1" fontId="6" fillId="0" borderId="20" xfId="56" applyNumberFormat="1" applyFont="1" applyFill="1" applyBorder="1" applyAlignment="1">
      <alignment horizontal="center" vertical="center" wrapText="1"/>
      <protection/>
    </xf>
    <xf numFmtId="0" fontId="14" fillId="0" borderId="18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vertical="center"/>
      <protection/>
    </xf>
    <xf numFmtId="0" fontId="28" fillId="0" borderId="18" xfId="56" applyFont="1" applyFill="1" applyBorder="1" applyAlignment="1">
      <alignment vertical="center"/>
      <protection/>
    </xf>
    <xf numFmtId="165" fontId="4" fillId="0" borderId="18" xfId="44" applyNumberFormat="1" applyFont="1" applyFill="1" applyBorder="1" applyAlignment="1">
      <alignment horizontal="center" vertical="center" wrapText="1"/>
    </xf>
    <xf numFmtId="165" fontId="96" fillId="0" borderId="18" xfId="44" applyNumberFormat="1" applyFont="1" applyFill="1" applyBorder="1" applyAlignment="1">
      <alignment horizontal="center" vertical="center" wrapText="1"/>
    </xf>
    <xf numFmtId="166" fontId="4" fillId="0" borderId="18" xfId="56" applyNumberFormat="1" applyFont="1" applyFill="1" applyBorder="1" applyAlignment="1">
      <alignment horizontal="center" vertical="center" wrapText="1"/>
      <protection/>
    </xf>
    <xf numFmtId="0" fontId="4" fillId="0" borderId="18" xfId="56" applyFont="1" applyFill="1" applyBorder="1" applyAlignment="1">
      <alignment horizontal="center" vertical="center" wrapText="1"/>
      <protection/>
    </xf>
    <xf numFmtId="0" fontId="14" fillId="0" borderId="15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vertical="center"/>
      <protection/>
    </xf>
    <xf numFmtId="0" fontId="4" fillId="0" borderId="15" xfId="56" applyFont="1" applyFill="1" applyBorder="1" applyAlignment="1">
      <alignment vertical="center"/>
      <protection/>
    </xf>
    <xf numFmtId="165" fontId="6" fillId="0" borderId="15" xfId="44" applyNumberFormat="1" applyFont="1" applyFill="1" applyBorder="1" applyAlignment="1">
      <alignment vertical="center"/>
    </xf>
    <xf numFmtId="165" fontId="94" fillId="0" borderId="15" xfId="44" applyNumberFormat="1" applyFont="1" applyFill="1" applyBorder="1" applyAlignment="1">
      <alignment vertical="center"/>
    </xf>
    <xf numFmtId="166" fontId="6" fillId="0" borderId="15" xfId="56" applyNumberFormat="1" applyFont="1" applyFill="1" applyBorder="1" applyAlignment="1">
      <alignment vertical="center"/>
      <protection/>
    </xf>
    <xf numFmtId="167" fontId="6" fillId="0" borderId="15" xfId="56" applyNumberFormat="1" applyFont="1" applyFill="1" applyBorder="1" applyAlignment="1">
      <alignment vertical="center"/>
      <protection/>
    </xf>
    <xf numFmtId="0" fontId="14" fillId="0" borderId="11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vertical="center"/>
      <protection/>
    </xf>
    <xf numFmtId="165" fontId="4" fillId="0" borderId="11" xfId="44" applyNumberFormat="1" applyFont="1" applyFill="1" applyBorder="1" applyAlignment="1">
      <alignment vertical="center"/>
    </xf>
    <xf numFmtId="165" fontId="96" fillId="0" borderId="11" xfId="44" applyNumberFormat="1" applyFont="1" applyFill="1" applyBorder="1" applyAlignment="1">
      <alignment vertical="center"/>
    </xf>
    <xf numFmtId="166" fontId="4" fillId="0" borderId="11" xfId="56" applyNumberFormat="1" applyFont="1" applyFill="1" applyBorder="1" applyAlignment="1">
      <alignment vertical="center"/>
      <protection/>
    </xf>
    <xf numFmtId="167" fontId="4" fillId="0" borderId="11" xfId="56" applyNumberFormat="1" applyFont="1" applyFill="1" applyBorder="1" applyAlignment="1">
      <alignment vertical="center"/>
      <protection/>
    </xf>
    <xf numFmtId="0" fontId="15" fillId="0" borderId="0" xfId="56" applyFont="1">
      <alignment/>
      <protection/>
    </xf>
    <xf numFmtId="0" fontId="6" fillId="0" borderId="11" xfId="56" applyFont="1" applyFill="1" applyBorder="1" applyAlignment="1">
      <alignment vertical="center"/>
      <protection/>
    </xf>
    <xf numFmtId="165" fontId="6" fillId="0" borderId="11" xfId="44" applyNumberFormat="1" applyFont="1" applyFill="1" applyBorder="1" applyAlignment="1">
      <alignment vertical="center"/>
    </xf>
    <xf numFmtId="165" fontId="94" fillId="0" borderId="11" xfId="44" applyNumberFormat="1" applyFont="1" applyFill="1" applyBorder="1" applyAlignment="1">
      <alignment vertical="center"/>
    </xf>
    <xf numFmtId="166" fontId="6" fillId="0" borderId="11" xfId="56" applyNumberFormat="1" applyFont="1" applyFill="1" applyBorder="1" applyAlignment="1">
      <alignment vertical="center"/>
      <protection/>
    </xf>
    <xf numFmtId="167" fontId="6" fillId="0" borderId="11" xfId="56" applyNumberFormat="1" applyFont="1" applyFill="1" applyBorder="1" applyAlignment="1">
      <alignment vertical="center"/>
      <protection/>
    </xf>
    <xf numFmtId="0" fontId="14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vertical="center"/>
      <protection/>
    </xf>
    <xf numFmtId="165" fontId="4" fillId="0" borderId="19" xfId="44" applyNumberFormat="1" applyFont="1" applyFill="1" applyBorder="1" applyAlignment="1">
      <alignment vertical="center"/>
    </xf>
    <xf numFmtId="165" fontId="96" fillId="0" borderId="19" xfId="44" applyNumberFormat="1" applyFont="1" applyFill="1" applyBorder="1" applyAlignment="1">
      <alignment vertical="center"/>
    </xf>
    <xf numFmtId="166" fontId="4" fillId="0" borderId="19" xfId="56" applyNumberFormat="1" applyFont="1" applyFill="1" applyBorder="1" applyAlignment="1">
      <alignment vertical="center"/>
      <protection/>
    </xf>
    <xf numFmtId="167" fontId="4" fillId="0" borderId="19" xfId="56" applyNumberFormat="1" applyFont="1" applyFill="1" applyBorder="1" applyAlignment="1">
      <alignment vertical="center"/>
      <protection/>
    </xf>
    <xf numFmtId="0" fontId="27" fillId="0" borderId="18" xfId="56" applyFont="1" applyFill="1" applyBorder="1" applyAlignment="1">
      <alignment vertical="center"/>
      <protection/>
    </xf>
    <xf numFmtId="165" fontId="6" fillId="0" borderId="18" xfId="44" applyNumberFormat="1" applyFont="1" applyFill="1" applyBorder="1" applyAlignment="1">
      <alignment horizontal="right" vertical="center"/>
    </xf>
    <xf numFmtId="165" fontId="94" fillId="0" borderId="18" xfId="44" applyNumberFormat="1" applyFont="1" applyFill="1" applyBorder="1" applyAlignment="1">
      <alignment horizontal="right" vertical="center"/>
    </xf>
    <xf numFmtId="0" fontId="35" fillId="0" borderId="0" xfId="56" applyFont="1" applyFill="1">
      <alignment/>
      <protection/>
    </xf>
    <xf numFmtId="165" fontId="35" fillId="0" borderId="0" xfId="44" applyNumberFormat="1" applyFont="1" applyFill="1" applyAlignment="1">
      <alignment/>
    </xf>
    <xf numFmtId="165" fontId="35" fillId="0" borderId="0" xfId="56" applyNumberFormat="1" applyFont="1" applyFill="1">
      <alignment/>
      <protection/>
    </xf>
    <xf numFmtId="0" fontId="13" fillId="0" borderId="0" xfId="56" applyFont="1" applyFill="1">
      <alignment/>
      <protection/>
    </xf>
    <xf numFmtId="0" fontId="24" fillId="0" borderId="18" xfId="56" applyFont="1" applyFill="1" applyBorder="1" applyAlignment="1">
      <alignment vertical="center"/>
      <protection/>
    </xf>
    <xf numFmtId="165" fontId="35" fillId="0" borderId="0" xfId="56" applyNumberFormat="1" applyFont="1">
      <alignment/>
      <protection/>
    </xf>
    <xf numFmtId="0" fontId="97" fillId="0" borderId="15" xfId="56" applyFont="1" applyFill="1" applyBorder="1" applyAlignment="1">
      <alignment horizontal="center" vertical="center"/>
      <protection/>
    </xf>
    <xf numFmtId="0" fontId="94" fillId="0" borderId="15" xfId="56" applyFont="1" applyFill="1" applyBorder="1" applyAlignment="1">
      <alignment vertical="center"/>
      <protection/>
    </xf>
    <xf numFmtId="167" fontId="94" fillId="0" borderId="15" xfId="56" applyNumberFormat="1" applyFont="1" applyFill="1" applyBorder="1" applyAlignment="1">
      <alignment vertical="center"/>
      <protection/>
    </xf>
    <xf numFmtId="165" fontId="94" fillId="0" borderId="15" xfId="44" applyNumberFormat="1" applyFont="1" applyFill="1" applyBorder="1" applyAlignment="1">
      <alignment horizontal="right" vertical="center"/>
    </xf>
    <xf numFmtId="0" fontId="98" fillId="0" borderId="0" xfId="56" applyFont="1">
      <alignment/>
      <protection/>
    </xf>
    <xf numFmtId="0" fontId="97" fillId="0" borderId="0" xfId="56" applyFont="1">
      <alignment/>
      <protection/>
    </xf>
    <xf numFmtId="0" fontId="99" fillId="0" borderId="11" xfId="56" applyFont="1" applyFill="1" applyBorder="1" applyAlignment="1">
      <alignment horizontal="center" vertical="center"/>
      <protection/>
    </xf>
    <xf numFmtId="0" fontId="96" fillId="0" borderId="11" xfId="56" applyFont="1" applyFill="1" applyBorder="1" applyAlignment="1">
      <alignment vertical="center"/>
      <protection/>
    </xf>
    <xf numFmtId="167" fontId="96" fillId="0" borderId="11" xfId="56" applyNumberFormat="1" applyFont="1" applyFill="1" applyBorder="1" applyAlignment="1">
      <alignment vertical="center"/>
      <protection/>
    </xf>
    <xf numFmtId="165" fontId="96" fillId="0" borderId="11" xfId="44" applyNumberFormat="1" applyFont="1" applyFill="1" applyBorder="1" applyAlignment="1">
      <alignment horizontal="right" vertical="center"/>
    </xf>
    <xf numFmtId="166" fontId="96" fillId="0" borderId="11" xfId="56" applyNumberFormat="1" applyFont="1" applyFill="1" applyBorder="1" applyAlignment="1">
      <alignment vertical="center"/>
      <protection/>
    </xf>
    <xf numFmtId="167" fontId="96" fillId="0" borderId="11" xfId="56" applyNumberFormat="1" applyFont="1" applyFill="1" applyBorder="1" applyAlignment="1">
      <alignment horizontal="right" vertical="center"/>
      <protection/>
    </xf>
    <xf numFmtId="0" fontId="100" fillId="0" borderId="0" xfId="56" applyFont="1">
      <alignment/>
      <protection/>
    </xf>
    <xf numFmtId="165" fontId="100" fillId="0" borderId="0" xfId="44" applyNumberFormat="1" applyFont="1" applyAlignment="1">
      <alignment/>
    </xf>
    <xf numFmtId="0" fontId="99" fillId="0" borderId="0" xfId="56" applyFont="1">
      <alignment/>
      <protection/>
    </xf>
    <xf numFmtId="0" fontId="96" fillId="0" borderId="11" xfId="56" applyFont="1" applyFill="1" applyBorder="1" applyAlignment="1">
      <alignment horizontal="left" vertical="center"/>
      <protection/>
    </xf>
    <xf numFmtId="0" fontId="96" fillId="0" borderId="11" xfId="56" applyFont="1" applyFill="1" applyBorder="1" applyAlignment="1">
      <alignment vertical="center" wrapText="1"/>
      <protection/>
    </xf>
    <xf numFmtId="0" fontId="97" fillId="0" borderId="11" xfId="56" applyFont="1" applyFill="1" applyBorder="1" applyAlignment="1">
      <alignment horizontal="center" vertical="center"/>
      <protection/>
    </xf>
    <xf numFmtId="0" fontId="94" fillId="0" borderId="11" xfId="56" applyFont="1" applyFill="1" applyBorder="1" applyAlignment="1">
      <alignment horizontal="left" vertical="center"/>
      <protection/>
    </xf>
    <xf numFmtId="0" fontId="94" fillId="0" borderId="11" xfId="56" applyFont="1" applyFill="1" applyBorder="1" applyAlignment="1">
      <alignment vertical="center"/>
      <protection/>
    </xf>
    <xf numFmtId="166" fontId="94" fillId="0" borderId="11" xfId="56" applyNumberFormat="1" applyFont="1" applyFill="1" applyBorder="1" applyAlignment="1">
      <alignment vertical="center"/>
      <protection/>
    </xf>
    <xf numFmtId="167" fontId="94" fillId="0" borderId="11" xfId="56" applyNumberFormat="1" applyFont="1" applyFill="1" applyBorder="1" applyAlignment="1">
      <alignment horizontal="right" vertical="center"/>
      <protection/>
    </xf>
    <xf numFmtId="165" fontId="98" fillId="0" borderId="0" xfId="44" applyNumberFormat="1" applyFont="1" applyAlignment="1">
      <alignment/>
    </xf>
    <xf numFmtId="0" fontId="97" fillId="0" borderId="19" xfId="56" applyFont="1" applyFill="1" applyBorder="1" applyAlignment="1">
      <alignment horizontal="center" vertical="center"/>
      <protection/>
    </xf>
    <xf numFmtId="0" fontId="96" fillId="0" borderId="19" xfId="56" applyFont="1" applyFill="1" applyBorder="1" applyAlignment="1">
      <alignment vertical="center"/>
      <protection/>
    </xf>
    <xf numFmtId="0" fontId="101" fillId="0" borderId="18" xfId="56" applyFont="1" applyFill="1" applyBorder="1" applyAlignment="1">
      <alignment horizontal="center" vertical="center"/>
      <protection/>
    </xf>
    <xf numFmtId="0" fontId="94" fillId="0" borderId="18" xfId="56" applyFont="1" applyFill="1" applyBorder="1" applyAlignment="1">
      <alignment vertical="center"/>
      <protection/>
    </xf>
    <xf numFmtId="165" fontId="94" fillId="0" borderId="18" xfId="44" applyNumberFormat="1" applyFont="1" applyFill="1" applyBorder="1" applyAlignment="1">
      <alignment vertical="center"/>
    </xf>
    <xf numFmtId="0" fontId="97" fillId="0" borderId="21" xfId="56" applyFont="1" applyFill="1" applyBorder="1" applyAlignment="1">
      <alignment horizontal="center" vertical="center"/>
      <protection/>
    </xf>
    <xf numFmtId="0" fontId="94" fillId="0" borderId="21" xfId="56" applyFont="1" applyFill="1" applyBorder="1" applyAlignment="1">
      <alignment vertical="center"/>
      <protection/>
    </xf>
    <xf numFmtId="165" fontId="94" fillId="0" borderId="21" xfId="44" applyNumberFormat="1" applyFont="1" applyFill="1" applyBorder="1" applyAlignment="1">
      <alignment vertical="center"/>
    </xf>
    <xf numFmtId="0" fontId="102" fillId="0" borderId="18" xfId="56" applyFont="1" applyFill="1" applyBorder="1" applyAlignment="1">
      <alignment horizontal="center" vertical="center"/>
      <protection/>
    </xf>
    <xf numFmtId="0" fontId="103" fillId="0" borderId="18" xfId="56" applyFont="1" applyFill="1" applyBorder="1" applyAlignment="1">
      <alignment vertical="center"/>
      <protection/>
    </xf>
    <xf numFmtId="0" fontId="104" fillId="0" borderId="18" xfId="56" applyFont="1" applyFill="1" applyBorder="1" applyAlignment="1">
      <alignment vertical="center"/>
      <protection/>
    </xf>
    <xf numFmtId="165" fontId="93" fillId="0" borderId="18" xfId="44" applyNumberFormat="1" applyFont="1" applyFill="1" applyBorder="1" applyAlignment="1">
      <alignment vertical="center"/>
    </xf>
    <xf numFmtId="43" fontId="93" fillId="0" borderId="18" xfId="44" applyNumberFormat="1" applyFont="1" applyFill="1" applyBorder="1" applyAlignment="1">
      <alignment vertical="center"/>
    </xf>
    <xf numFmtId="170" fontId="93" fillId="0" borderId="18" xfId="44" applyNumberFormat="1" applyFont="1" applyFill="1" applyBorder="1" applyAlignment="1">
      <alignment vertical="center"/>
    </xf>
    <xf numFmtId="166" fontId="93" fillId="0" borderId="18" xfId="56" applyNumberFormat="1" applyFont="1" applyFill="1" applyBorder="1" applyAlignment="1">
      <alignment vertical="center"/>
      <protection/>
    </xf>
    <xf numFmtId="167" fontId="94" fillId="0" borderId="18" xfId="56" applyNumberFormat="1" applyFont="1" applyFill="1" applyBorder="1" applyAlignment="1">
      <alignment horizontal="right" vertical="center"/>
      <protection/>
    </xf>
    <xf numFmtId="165" fontId="98" fillId="0" borderId="0" xfId="56" applyNumberFormat="1" applyFont="1">
      <alignment/>
      <protection/>
    </xf>
    <xf numFmtId="0" fontId="105" fillId="0" borderId="15" xfId="56" applyFont="1" applyFill="1" applyBorder="1" applyAlignment="1">
      <alignment horizontal="center" vertical="center"/>
      <protection/>
    </xf>
    <xf numFmtId="0" fontId="104" fillId="0" borderId="15" xfId="56" applyFont="1" applyFill="1" applyBorder="1" applyAlignment="1">
      <alignment vertical="center"/>
      <protection/>
    </xf>
    <xf numFmtId="165" fontId="93" fillId="0" borderId="15" xfId="44" applyNumberFormat="1" applyFont="1" applyFill="1" applyBorder="1" applyAlignment="1">
      <alignment vertical="center"/>
    </xf>
    <xf numFmtId="166" fontId="93" fillId="0" borderId="15" xfId="56" applyNumberFormat="1" applyFont="1" applyFill="1" applyBorder="1" applyAlignment="1">
      <alignment vertical="center"/>
      <protection/>
    </xf>
    <xf numFmtId="167" fontId="94" fillId="0" borderId="15" xfId="56" applyNumberFormat="1" applyFont="1" applyFill="1" applyBorder="1" applyAlignment="1">
      <alignment horizontal="right" vertical="center"/>
      <protection/>
    </xf>
    <xf numFmtId="0" fontId="106" fillId="0" borderId="11" xfId="56" applyFont="1" applyFill="1" applyBorder="1" applyAlignment="1">
      <alignment horizontal="center" vertical="center"/>
      <protection/>
    </xf>
    <xf numFmtId="0" fontId="104" fillId="0" borderId="11" xfId="56" applyFont="1" applyFill="1" applyBorder="1" applyAlignment="1">
      <alignment vertical="center"/>
      <protection/>
    </xf>
    <xf numFmtId="165" fontId="95" fillId="0" borderId="11" xfId="44" applyNumberFormat="1" applyFont="1" applyFill="1" applyBorder="1" applyAlignment="1">
      <alignment vertical="center"/>
    </xf>
    <xf numFmtId="43" fontId="95" fillId="0" borderId="11" xfId="44" applyNumberFormat="1" applyFont="1" applyFill="1" applyBorder="1" applyAlignment="1">
      <alignment vertical="center"/>
    </xf>
    <xf numFmtId="166" fontId="95" fillId="0" borderId="11" xfId="56" applyNumberFormat="1" applyFont="1" applyFill="1" applyBorder="1" applyAlignment="1">
      <alignment vertical="center"/>
      <protection/>
    </xf>
    <xf numFmtId="0" fontId="106" fillId="0" borderId="19" xfId="56" applyFont="1" applyFill="1" applyBorder="1" applyAlignment="1">
      <alignment horizontal="center" vertical="center"/>
      <protection/>
    </xf>
    <xf numFmtId="0" fontId="95" fillId="0" borderId="19" xfId="56" applyFont="1" applyFill="1" applyBorder="1" applyAlignment="1">
      <alignment vertical="center"/>
      <protection/>
    </xf>
    <xf numFmtId="0" fontId="104" fillId="0" borderId="19" xfId="56" applyFont="1" applyFill="1" applyBorder="1" applyAlignment="1">
      <alignment vertical="center"/>
      <protection/>
    </xf>
    <xf numFmtId="165" fontId="95" fillId="0" borderId="19" xfId="44" applyNumberFormat="1" applyFont="1" applyFill="1" applyBorder="1" applyAlignment="1">
      <alignment vertical="center"/>
    </xf>
    <xf numFmtId="166" fontId="95" fillId="0" borderId="19" xfId="56" applyNumberFormat="1" applyFont="1" applyFill="1" applyBorder="1" applyAlignment="1">
      <alignment vertical="center"/>
      <protection/>
    </xf>
    <xf numFmtId="167" fontId="96" fillId="0" borderId="19" xfId="56" applyNumberFormat="1" applyFont="1" applyFill="1" applyBorder="1" applyAlignment="1">
      <alignment horizontal="right" vertical="center"/>
      <protection/>
    </xf>
    <xf numFmtId="0" fontId="107" fillId="0" borderId="18" xfId="56" applyFont="1" applyFill="1" applyBorder="1" applyAlignment="1">
      <alignment horizontal="center" vertical="center"/>
      <protection/>
    </xf>
    <xf numFmtId="0" fontId="97" fillId="0" borderId="18" xfId="56" applyFont="1" applyFill="1" applyBorder="1" applyAlignment="1">
      <alignment horizontal="center" vertical="center"/>
      <protection/>
    </xf>
    <xf numFmtId="0" fontId="108" fillId="0" borderId="18" xfId="56" applyFont="1" applyFill="1" applyBorder="1" applyAlignment="1">
      <alignment vertical="center"/>
      <protection/>
    </xf>
    <xf numFmtId="165" fontId="98" fillId="0" borderId="0" xfId="56" applyNumberFormat="1" applyFont="1" applyFill="1">
      <alignment/>
      <protection/>
    </xf>
    <xf numFmtId="165" fontId="98" fillId="0" borderId="0" xfId="44" applyNumberFormat="1" applyFont="1" applyFill="1" applyAlignment="1">
      <alignment/>
    </xf>
    <xf numFmtId="0" fontId="98" fillId="0" borderId="0" xfId="56" applyFont="1" applyFill="1">
      <alignment/>
      <protection/>
    </xf>
    <xf numFmtId="0" fontId="97" fillId="0" borderId="0" xfId="56" applyFont="1" applyFill="1">
      <alignment/>
      <protection/>
    </xf>
    <xf numFmtId="0" fontId="102" fillId="0" borderId="18" xfId="56" applyFont="1" applyBorder="1" applyAlignment="1">
      <alignment horizontal="center" vertical="center"/>
      <protection/>
    </xf>
    <xf numFmtId="0" fontId="109" fillId="0" borderId="18" xfId="56" applyFont="1" applyBorder="1" applyAlignment="1">
      <alignment vertical="center"/>
      <protection/>
    </xf>
    <xf numFmtId="0" fontId="103" fillId="0" borderId="18" xfId="56" applyFont="1" applyBorder="1" applyAlignment="1">
      <alignment vertical="center"/>
      <protection/>
    </xf>
    <xf numFmtId="0" fontId="107" fillId="0" borderId="15" xfId="56" applyFont="1" applyBorder="1" applyAlignment="1">
      <alignment horizontal="center" vertical="center"/>
      <protection/>
    </xf>
    <xf numFmtId="0" fontId="93" fillId="0" borderId="15" xfId="56" applyFont="1" applyBorder="1" applyAlignment="1">
      <alignment vertical="center"/>
      <protection/>
    </xf>
    <xf numFmtId="0" fontId="103" fillId="0" borderId="15" xfId="56" applyFont="1" applyBorder="1" applyAlignment="1">
      <alignment vertical="center"/>
      <protection/>
    </xf>
    <xf numFmtId="165" fontId="93" fillId="0" borderId="15" xfId="44" applyNumberFormat="1" applyFont="1" applyFill="1" applyBorder="1" applyAlignment="1">
      <alignment horizontal="right" vertical="center"/>
    </xf>
    <xf numFmtId="0" fontId="97" fillId="0" borderId="11" xfId="56" applyFont="1" applyBorder="1" applyAlignment="1">
      <alignment horizontal="center" vertical="center"/>
      <protection/>
    </xf>
    <xf numFmtId="0" fontId="94" fillId="0" borderId="11" xfId="56" applyFont="1" applyBorder="1" applyAlignment="1">
      <alignment horizontal="left" vertical="center"/>
      <protection/>
    </xf>
    <xf numFmtId="0" fontId="103" fillId="0" borderId="11" xfId="56" applyFont="1" applyBorder="1" applyAlignment="1">
      <alignment horizontal="left" vertical="center"/>
      <protection/>
    </xf>
    <xf numFmtId="165" fontId="94" fillId="0" borderId="11" xfId="44" applyNumberFormat="1" applyFont="1" applyBorder="1" applyAlignment="1">
      <alignment vertical="center"/>
    </xf>
    <xf numFmtId="0" fontId="96" fillId="0" borderId="11" xfId="56" applyFont="1" applyBorder="1" applyAlignment="1">
      <alignment horizontal="left" vertical="center"/>
      <protection/>
    </xf>
    <xf numFmtId="0" fontId="96" fillId="0" borderId="11" xfId="56" applyFont="1" applyBorder="1" applyAlignment="1">
      <alignment vertical="center"/>
      <protection/>
    </xf>
    <xf numFmtId="165" fontId="96" fillId="0" borderId="11" xfId="44" applyNumberFormat="1" applyFont="1" applyBorder="1" applyAlignment="1">
      <alignment vertical="center"/>
    </xf>
    <xf numFmtId="167" fontId="96" fillId="0" borderId="11" xfId="56" applyNumberFormat="1" applyFont="1" applyFill="1" applyBorder="1" applyAlignment="1">
      <alignment vertical="center"/>
      <protection/>
    </xf>
    <xf numFmtId="166" fontId="96" fillId="0" borderId="11" xfId="56" applyNumberFormat="1" applyFont="1" applyFill="1" applyBorder="1" applyAlignment="1">
      <alignment horizontal="right" vertical="center"/>
      <protection/>
    </xf>
    <xf numFmtId="165" fontId="93" fillId="0" borderId="11" xfId="44" applyNumberFormat="1" applyFont="1" applyFill="1" applyBorder="1" applyAlignment="1">
      <alignment horizontal="right" vertical="center"/>
    </xf>
    <xf numFmtId="0" fontId="104" fillId="0" borderId="11" xfId="56" applyFont="1" applyBorder="1" applyAlignment="1">
      <alignment vertical="center"/>
      <protection/>
    </xf>
    <xf numFmtId="166" fontId="96" fillId="0" borderId="11" xfId="56" applyNumberFormat="1" applyFont="1" applyBorder="1" applyAlignment="1">
      <alignment vertical="center"/>
      <protection/>
    </xf>
    <xf numFmtId="167" fontId="96" fillId="0" borderId="11" xfId="56" applyNumberFormat="1" applyFont="1" applyBorder="1" applyAlignment="1">
      <alignment horizontal="right" vertical="center"/>
      <protection/>
    </xf>
    <xf numFmtId="0" fontId="104" fillId="0" borderId="11" xfId="56" applyFont="1" applyBorder="1" applyAlignment="1">
      <alignment horizontal="left" vertical="center"/>
      <protection/>
    </xf>
    <xf numFmtId="165" fontId="96" fillId="0" borderId="11" xfId="44" applyNumberFormat="1" applyFont="1" applyBorder="1" applyAlignment="1">
      <alignment horizontal="right" vertical="center"/>
    </xf>
    <xf numFmtId="165" fontId="95" fillId="0" borderId="11" xfId="44" applyNumberFormat="1" applyFont="1" applyBorder="1" applyAlignment="1">
      <alignment horizontal="right" vertical="center"/>
    </xf>
    <xf numFmtId="0" fontId="110" fillId="0" borderId="11" xfId="56" applyFont="1" applyBorder="1" applyAlignment="1">
      <alignment horizontal="center" vertical="center"/>
      <protection/>
    </xf>
    <xf numFmtId="0" fontId="111" fillId="0" borderId="11" xfId="56" applyFont="1" applyBorder="1" applyAlignment="1">
      <alignment horizontal="left" vertical="center"/>
      <protection/>
    </xf>
    <xf numFmtId="0" fontId="112" fillId="0" borderId="11" xfId="56" applyFont="1" applyBorder="1" applyAlignment="1">
      <alignment horizontal="left" vertical="center"/>
      <protection/>
    </xf>
    <xf numFmtId="165" fontId="111" fillId="0" borderId="11" xfId="44" applyNumberFormat="1" applyFont="1" applyFill="1" applyBorder="1" applyAlignment="1">
      <alignment vertical="center"/>
    </xf>
    <xf numFmtId="165" fontId="111" fillId="0" borderId="11" xfId="44" applyNumberFormat="1" applyFont="1" applyBorder="1" applyAlignment="1">
      <alignment vertical="center"/>
    </xf>
    <xf numFmtId="166" fontId="111" fillId="0" borderId="11" xfId="56" applyNumberFormat="1" applyFont="1" applyBorder="1" applyAlignment="1">
      <alignment vertical="center"/>
      <protection/>
    </xf>
    <xf numFmtId="167" fontId="111" fillId="0" borderId="11" xfId="56" applyNumberFormat="1" applyFont="1" applyBorder="1" applyAlignment="1">
      <alignment horizontal="right" vertical="center"/>
      <protection/>
    </xf>
    <xf numFmtId="0" fontId="113" fillId="0" borderId="0" xfId="56" applyFont="1">
      <alignment/>
      <protection/>
    </xf>
    <xf numFmtId="165" fontId="113" fillId="0" borderId="0" xfId="44" applyNumberFormat="1" applyFont="1" applyAlignment="1">
      <alignment/>
    </xf>
    <xf numFmtId="0" fontId="114" fillId="0" borderId="0" xfId="56" applyFont="1">
      <alignment/>
      <protection/>
    </xf>
    <xf numFmtId="165" fontId="93" fillId="0" borderId="11" xfId="44" applyNumberFormat="1" applyFont="1" applyBorder="1" applyAlignment="1">
      <alignment horizontal="right" vertical="center"/>
    </xf>
    <xf numFmtId="0" fontId="115" fillId="0" borderId="11" xfId="56" applyFont="1" applyBorder="1" applyAlignment="1">
      <alignment horizontal="left" vertical="center"/>
      <protection/>
    </xf>
    <xf numFmtId="0" fontId="116" fillId="0" borderId="11" xfId="56" applyFont="1" applyBorder="1" applyAlignment="1">
      <alignment horizontal="left" vertical="center"/>
      <protection/>
    </xf>
    <xf numFmtId="0" fontId="117" fillId="0" borderId="0" xfId="56" applyFont="1">
      <alignment/>
      <protection/>
    </xf>
    <xf numFmtId="165" fontId="117" fillId="0" borderId="0" xfId="44" applyNumberFormat="1" applyFont="1" applyAlignment="1">
      <alignment/>
    </xf>
    <xf numFmtId="0" fontId="110" fillId="0" borderId="0" xfId="56" applyFont="1">
      <alignment/>
      <protection/>
    </xf>
    <xf numFmtId="165" fontId="94" fillId="0" borderId="11" xfId="44" applyNumberFormat="1" applyFont="1" applyFill="1" applyBorder="1" applyAlignment="1">
      <alignment horizontal="right" vertical="center"/>
    </xf>
    <xf numFmtId="0" fontId="99" fillId="0" borderId="11" xfId="56" applyFont="1" applyBorder="1" applyAlignment="1">
      <alignment horizontal="center" vertical="center"/>
      <protection/>
    </xf>
    <xf numFmtId="0" fontId="115" fillId="0" borderId="11" xfId="56" applyFont="1" applyBorder="1" applyAlignment="1">
      <alignment vertical="center"/>
      <protection/>
    </xf>
    <xf numFmtId="0" fontId="116" fillId="0" borderId="11" xfId="56" applyFont="1" applyBorder="1" applyAlignment="1">
      <alignment vertical="center"/>
      <protection/>
    </xf>
    <xf numFmtId="0" fontId="99" fillId="0" borderId="11" xfId="56" applyFont="1" applyBorder="1" applyAlignment="1">
      <alignment horizontal="left" vertical="center"/>
      <protection/>
    </xf>
    <xf numFmtId="0" fontId="115" fillId="0" borderId="11" xfId="56" applyFont="1" applyFill="1" applyBorder="1" applyAlignment="1">
      <alignment vertical="center"/>
      <protection/>
    </xf>
    <xf numFmtId="0" fontId="116" fillId="0" borderId="11" xfId="56" applyFont="1" applyFill="1" applyBorder="1" applyAlignment="1">
      <alignment vertical="center"/>
      <protection/>
    </xf>
    <xf numFmtId="165" fontId="117" fillId="0" borderId="0" xfId="56" applyNumberFormat="1" applyFont="1">
      <alignment/>
      <protection/>
    </xf>
    <xf numFmtId="0" fontId="111" fillId="0" borderId="11" xfId="56" applyFont="1" applyFill="1" applyBorder="1" applyAlignment="1">
      <alignment vertical="center"/>
      <protection/>
    </xf>
    <xf numFmtId="0" fontId="111" fillId="0" borderId="11" xfId="56" applyFont="1" applyFill="1" applyBorder="1" applyAlignment="1">
      <alignment horizontal="left" vertical="center"/>
      <protection/>
    </xf>
    <xf numFmtId="166" fontId="111" fillId="0" borderId="11" xfId="56" applyNumberFormat="1" applyFont="1" applyFill="1" applyBorder="1" applyAlignment="1">
      <alignment vertical="center"/>
      <protection/>
    </xf>
    <xf numFmtId="166" fontId="111" fillId="0" borderId="11" xfId="56" applyNumberFormat="1" applyFont="1" applyFill="1" applyBorder="1" applyAlignment="1">
      <alignment horizontal="right" vertical="center"/>
      <protection/>
    </xf>
    <xf numFmtId="0" fontId="113" fillId="34" borderId="0" xfId="56" applyFont="1" applyFill="1">
      <alignment/>
      <protection/>
    </xf>
    <xf numFmtId="0" fontId="111" fillId="0" borderId="11" xfId="56" applyFont="1" applyBorder="1" applyAlignment="1">
      <alignment horizontal="left" vertical="center" wrapText="1"/>
      <protection/>
    </xf>
    <xf numFmtId="0" fontId="111" fillId="0" borderId="11" xfId="56" applyFont="1" applyBorder="1" applyAlignment="1">
      <alignment vertical="center"/>
      <protection/>
    </xf>
    <xf numFmtId="0" fontId="100" fillId="0" borderId="0" xfId="56" applyFont="1" applyFill="1">
      <alignment/>
      <protection/>
    </xf>
    <xf numFmtId="165" fontId="100" fillId="0" borderId="0" xfId="44" applyNumberFormat="1" applyFont="1" applyFill="1" applyAlignment="1">
      <alignment/>
    </xf>
    <xf numFmtId="0" fontId="99" fillId="0" borderId="0" xfId="56" applyFont="1" applyFill="1">
      <alignment/>
      <protection/>
    </xf>
    <xf numFmtId="0" fontId="110" fillId="0" borderId="11" xfId="56" applyFont="1" applyFill="1" applyBorder="1" applyAlignment="1">
      <alignment horizontal="center" vertical="center"/>
      <protection/>
    </xf>
    <xf numFmtId="0" fontId="113" fillId="0" borderId="0" xfId="56" applyFont="1" applyFill="1">
      <alignment/>
      <protection/>
    </xf>
    <xf numFmtId="165" fontId="113" fillId="0" borderId="0" xfId="44" applyNumberFormat="1" applyFont="1" applyFill="1" applyAlignment="1">
      <alignment/>
    </xf>
    <xf numFmtId="0" fontId="114" fillId="0" borderId="0" xfId="56" applyFont="1" applyFill="1">
      <alignment/>
      <protection/>
    </xf>
    <xf numFmtId="0" fontId="99" fillId="0" borderId="11" xfId="56" applyFont="1" applyFill="1" applyBorder="1" applyAlignment="1">
      <alignment horizontal="left" vertical="center"/>
      <protection/>
    </xf>
    <xf numFmtId="0" fontId="115" fillId="0" borderId="11" xfId="56" applyFont="1" applyFill="1" applyBorder="1" applyAlignment="1">
      <alignment horizontal="left" vertical="center"/>
      <protection/>
    </xf>
    <xf numFmtId="0" fontId="116" fillId="0" borderId="11" xfId="56" applyFont="1" applyFill="1" applyBorder="1" applyAlignment="1">
      <alignment horizontal="left" vertical="center"/>
      <protection/>
    </xf>
    <xf numFmtId="0" fontId="117" fillId="0" borderId="0" xfId="56" applyFont="1" applyFill="1">
      <alignment/>
      <protection/>
    </xf>
    <xf numFmtId="165" fontId="117" fillId="0" borderId="0" xfId="44" applyNumberFormat="1" applyFont="1" applyFill="1" applyAlignment="1">
      <alignment/>
    </xf>
    <xf numFmtId="0" fontId="110" fillId="0" borderId="0" xfId="56" applyFont="1" applyFill="1">
      <alignment/>
      <protection/>
    </xf>
    <xf numFmtId="0" fontId="104" fillId="0" borderId="11" xfId="56" applyFont="1" applyFill="1" applyBorder="1" applyAlignment="1">
      <alignment horizontal="left" vertical="center"/>
      <protection/>
    </xf>
    <xf numFmtId="167" fontId="94" fillId="0" borderId="11" xfId="56" applyNumberFormat="1" applyFont="1" applyFill="1" applyBorder="1" applyAlignment="1">
      <alignment vertical="center"/>
      <protection/>
    </xf>
    <xf numFmtId="165" fontId="96" fillId="35" borderId="11" xfId="44" applyNumberFormat="1" applyFont="1" applyFill="1" applyBorder="1" applyAlignment="1">
      <alignment vertical="center"/>
    </xf>
    <xf numFmtId="0" fontId="114" fillId="0" borderId="11" xfId="56" applyFont="1" applyFill="1" applyBorder="1" applyAlignment="1">
      <alignment horizontal="left" vertical="center"/>
      <protection/>
    </xf>
    <xf numFmtId="0" fontId="96" fillId="0" borderId="11" xfId="56" applyFont="1" applyFill="1" applyBorder="1" applyAlignment="1">
      <alignment horizontal="left" vertical="center" wrapText="1"/>
      <protection/>
    </xf>
    <xf numFmtId="167" fontId="111" fillId="0" borderId="11" xfId="56" applyNumberFormat="1" applyFont="1" applyFill="1" applyBorder="1" applyAlignment="1">
      <alignment vertical="center"/>
      <protection/>
    </xf>
    <xf numFmtId="0" fontId="103" fillId="0" borderId="11" xfId="56" applyFont="1" applyFill="1" applyBorder="1" applyAlignment="1">
      <alignment vertical="center"/>
      <protection/>
    </xf>
    <xf numFmtId="0" fontId="96" fillId="0" borderId="21" xfId="56" applyFont="1" applyFill="1" applyBorder="1" applyAlignment="1">
      <alignment horizontal="left" vertical="center"/>
      <protection/>
    </xf>
    <xf numFmtId="0" fontId="104" fillId="0" borderId="21" xfId="56" applyFont="1" applyFill="1" applyBorder="1" applyAlignment="1">
      <alignment vertical="center"/>
      <protection/>
    </xf>
    <xf numFmtId="165" fontId="96" fillId="0" borderId="21" xfId="44" applyNumberFormat="1" applyFont="1" applyFill="1" applyBorder="1" applyAlignment="1">
      <alignment vertical="center"/>
    </xf>
    <xf numFmtId="166" fontId="96" fillId="0" borderId="21" xfId="56" applyNumberFormat="1" applyFont="1" applyFill="1" applyBorder="1" applyAlignment="1">
      <alignment vertical="center"/>
      <protection/>
    </xf>
    <xf numFmtId="167" fontId="96" fillId="0" borderId="21" xfId="56" applyNumberFormat="1" applyFont="1" applyFill="1" applyBorder="1" applyAlignment="1">
      <alignment horizontal="right" vertical="center"/>
      <protection/>
    </xf>
    <xf numFmtId="0" fontId="109" fillId="0" borderId="18" xfId="56" applyFont="1" applyFill="1" applyBorder="1" applyAlignment="1">
      <alignment vertical="center"/>
      <protection/>
    </xf>
    <xf numFmtId="0" fontId="99" fillId="0" borderId="15" xfId="56" applyFont="1" applyFill="1" applyBorder="1" applyAlignment="1">
      <alignment horizontal="center" vertical="center"/>
      <protection/>
    </xf>
    <xf numFmtId="0" fontId="96" fillId="0" borderId="15" xfId="56" applyFont="1" applyFill="1" applyBorder="1" applyAlignment="1">
      <alignment vertical="center"/>
      <protection/>
    </xf>
    <xf numFmtId="165" fontId="96" fillId="0" borderId="15" xfId="44" applyNumberFormat="1" applyFont="1" applyFill="1" applyBorder="1" applyAlignment="1">
      <alignment vertical="center"/>
    </xf>
    <xf numFmtId="166" fontId="96" fillId="0" borderId="15" xfId="56" applyNumberFormat="1" applyFont="1" applyFill="1" applyBorder="1" applyAlignment="1">
      <alignment vertical="center"/>
      <protection/>
    </xf>
    <xf numFmtId="167" fontId="96" fillId="0" borderId="15" xfId="56" applyNumberFormat="1" applyFont="1" applyFill="1" applyBorder="1" applyAlignment="1">
      <alignment horizontal="right" vertical="center"/>
      <protection/>
    </xf>
    <xf numFmtId="0" fontId="99" fillId="0" borderId="19" xfId="56" applyFont="1" applyFill="1" applyBorder="1" applyAlignment="1">
      <alignment horizontal="center" vertical="center"/>
      <protection/>
    </xf>
    <xf numFmtId="166" fontId="96" fillId="0" borderId="19" xfId="56" applyNumberFormat="1" applyFont="1" applyFill="1" applyBorder="1" applyAlignment="1">
      <alignment vertical="center"/>
      <protection/>
    </xf>
    <xf numFmtId="167" fontId="96" fillId="0" borderId="19" xfId="56" applyNumberFormat="1" applyFont="1" applyFill="1" applyBorder="1" applyAlignment="1">
      <alignment vertical="center"/>
      <protection/>
    </xf>
    <xf numFmtId="0" fontId="105" fillId="0" borderId="18" xfId="56" applyFont="1" applyFill="1" applyBorder="1" applyAlignment="1">
      <alignment horizontal="center" vertical="center"/>
      <protection/>
    </xf>
    <xf numFmtId="0" fontId="93" fillId="0" borderId="18" xfId="56" applyFont="1" applyFill="1" applyBorder="1" applyAlignment="1">
      <alignment vertical="center"/>
      <protection/>
    </xf>
    <xf numFmtId="0" fontId="99" fillId="0" borderId="18" xfId="56" applyFont="1" applyFill="1" applyBorder="1" applyAlignment="1">
      <alignment horizontal="center" vertical="center"/>
      <protection/>
    </xf>
    <xf numFmtId="0" fontId="96" fillId="0" borderId="18" xfId="56" applyFont="1" applyFill="1" applyBorder="1" applyAlignment="1">
      <alignment vertical="center" wrapText="1"/>
      <protection/>
    </xf>
    <xf numFmtId="0" fontId="96" fillId="0" borderId="18" xfId="56" applyFont="1" applyFill="1" applyBorder="1" applyAlignment="1">
      <alignment vertical="center"/>
      <protection/>
    </xf>
    <xf numFmtId="165" fontId="96" fillId="0" borderId="18" xfId="44" applyNumberFormat="1" applyFont="1" applyFill="1" applyBorder="1" applyAlignment="1">
      <alignment vertical="center"/>
    </xf>
    <xf numFmtId="166" fontId="96" fillId="0" borderId="18" xfId="56" applyNumberFormat="1" applyFont="1" applyFill="1" applyBorder="1" applyAlignment="1">
      <alignment vertical="center"/>
      <protection/>
    </xf>
    <xf numFmtId="167" fontId="96" fillId="0" borderId="18" xfId="56" applyNumberFormat="1" applyFont="1" applyFill="1" applyBorder="1" applyAlignment="1">
      <alignment horizontal="right" vertical="center"/>
      <protection/>
    </xf>
    <xf numFmtId="0" fontId="99" fillId="0" borderId="18" xfId="56" applyFont="1" applyBorder="1" applyAlignment="1">
      <alignment horizontal="center" vertical="center"/>
      <protection/>
    </xf>
    <xf numFmtId="0" fontId="96" fillId="0" borderId="18" xfId="56" applyFont="1" applyBorder="1" applyAlignment="1">
      <alignment vertical="center" wrapText="1"/>
      <protection/>
    </xf>
    <xf numFmtId="0" fontId="96" fillId="0" borderId="18" xfId="56" applyFont="1" applyBorder="1" applyAlignment="1">
      <alignment vertical="center"/>
      <protection/>
    </xf>
    <xf numFmtId="165" fontId="96" fillId="0" borderId="18" xfId="44" applyNumberFormat="1" applyFont="1" applyBorder="1" applyAlignment="1">
      <alignment vertical="center"/>
    </xf>
    <xf numFmtId="0" fontId="99" fillId="0" borderId="20" xfId="56" applyFont="1" applyBorder="1" applyAlignment="1">
      <alignment horizontal="center" vertical="center"/>
      <protection/>
    </xf>
    <xf numFmtId="0" fontId="96" fillId="0" borderId="20" xfId="56" applyFont="1" applyBorder="1" applyAlignment="1">
      <alignment vertical="center" wrapText="1"/>
      <protection/>
    </xf>
    <xf numFmtId="0" fontId="96" fillId="0" borderId="20" xfId="56" applyFont="1" applyBorder="1" applyAlignment="1">
      <alignment vertical="center"/>
      <protection/>
    </xf>
    <xf numFmtId="165" fontId="96" fillId="0" borderId="20" xfId="44" applyNumberFormat="1" applyFont="1" applyBorder="1" applyAlignment="1">
      <alignment vertical="center"/>
    </xf>
    <xf numFmtId="165" fontId="96" fillId="0" borderId="20" xfId="44" applyNumberFormat="1" applyFont="1" applyFill="1" applyBorder="1" applyAlignment="1">
      <alignment vertical="center"/>
    </xf>
    <xf numFmtId="166" fontId="96" fillId="0" borderId="20" xfId="56" applyNumberFormat="1" applyFont="1" applyFill="1" applyBorder="1" applyAlignment="1">
      <alignment vertical="center"/>
      <protection/>
    </xf>
    <xf numFmtId="167" fontId="96" fillId="0" borderId="20" xfId="56" applyNumberFormat="1" applyFont="1" applyFill="1" applyBorder="1" applyAlignment="1">
      <alignment horizontal="right" vertical="center"/>
      <protection/>
    </xf>
    <xf numFmtId="0" fontId="16" fillId="0" borderId="0" xfId="56" applyFont="1" applyBorder="1" applyAlignment="1">
      <alignment horizontal="center" vertical="center"/>
      <protection/>
    </xf>
    <xf numFmtId="0" fontId="15" fillId="0" borderId="0" xfId="56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165" fontId="16" fillId="0" borderId="0" xfId="44" applyNumberFormat="1" applyFont="1" applyFill="1" applyBorder="1" applyAlignment="1">
      <alignment horizontal="right" vertical="center"/>
    </xf>
    <xf numFmtId="165" fontId="21" fillId="0" borderId="0" xfId="44" applyNumberFormat="1" applyFont="1" applyAlignment="1">
      <alignment horizontal="left" vertical="center"/>
    </xf>
    <xf numFmtId="165" fontId="118" fillId="0" borderId="0" xfId="44" applyNumberFormat="1" applyFont="1" applyFill="1" applyAlignment="1">
      <alignment horizontal="left" vertical="center"/>
    </xf>
    <xf numFmtId="165" fontId="20" fillId="0" borderId="0" xfId="44" applyNumberFormat="1" applyFont="1" applyFill="1" applyAlignment="1">
      <alignment horizontal="left" vertical="center"/>
    </xf>
    <xf numFmtId="165" fontId="19" fillId="0" borderId="0" xfId="44" applyNumberFormat="1" applyFont="1" applyFill="1" applyAlignment="1">
      <alignment vertical="center"/>
    </xf>
    <xf numFmtId="166" fontId="19" fillId="0" borderId="0" xfId="56" applyNumberFormat="1" applyFont="1" applyFill="1" applyAlignment="1">
      <alignment vertical="center"/>
      <protection/>
    </xf>
    <xf numFmtId="166" fontId="20" fillId="0" borderId="0" xfId="56" applyNumberFormat="1" applyFont="1" applyFill="1" applyAlignment="1">
      <alignment horizontal="right" vertical="center"/>
      <protection/>
    </xf>
    <xf numFmtId="0" fontId="31" fillId="0" borderId="0" xfId="56" applyFont="1" applyFill="1">
      <alignment/>
      <protection/>
    </xf>
    <xf numFmtId="165" fontId="31" fillId="0" borderId="0" xfId="44" applyNumberFormat="1" applyFont="1" applyFill="1" applyAlignment="1">
      <alignment/>
    </xf>
    <xf numFmtId="165" fontId="22" fillId="0" borderId="0" xfId="44" applyNumberFormat="1" applyFont="1" applyAlignment="1">
      <alignment horizontal="right" vertical="center"/>
    </xf>
    <xf numFmtId="165" fontId="93" fillId="0" borderId="0" xfId="44" applyNumberFormat="1" applyFont="1" applyFill="1" applyAlignment="1">
      <alignment horizontal="left" vertical="center"/>
    </xf>
    <xf numFmtId="0" fontId="15" fillId="0" borderId="0" xfId="56" applyFont="1" applyFill="1">
      <alignment/>
      <protection/>
    </xf>
    <xf numFmtId="165" fontId="18" fillId="0" borderId="0" xfId="44" applyNumberFormat="1" applyFont="1" applyFill="1" applyAlignment="1">
      <alignment vertical="center"/>
    </xf>
    <xf numFmtId="166" fontId="18" fillId="0" borderId="0" xfId="56" applyNumberFormat="1" applyFont="1" applyFill="1" applyAlignment="1">
      <alignment vertical="center"/>
      <protection/>
    </xf>
    <xf numFmtId="164" fontId="18" fillId="0" borderId="0" xfId="56" applyNumberFormat="1" applyFont="1" applyFill="1" applyAlignment="1">
      <alignment vertical="center"/>
      <protection/>
    </xf>
    <xf numFmtId="165" fontId="23" fillId="0" borderId="0" xfId="44" applyNumberFormat="1" applyFont="1" applyBorder="1" applyAlignment="1">
      <alignment vertical="center"/>
    </xf>
    <xf numFmtId="165" fontId="94" fillId="0" borderId="0" xfId="44" applyNumberFormat="1" applyFont="1" applyFill="1" applyBorder="1" applyAlignment="1">
      <alignment vertical="center"/>
    </xf>
    <xf numFmtId="165" fontId="23" fillId="0" borderId="0" xfId="44" applyNumberFormat="1" applyFont="1" applyFill="1" applyBorder="1" applyAlignment="1">
      <alignment vertical="center"/>
    </xf>
    <xf numFmtId="166" fontId="23" fillId="0" borderId="0" xfId="56" applyNumberFormat="1" applyFont="1" applyFill="1" applyBorder="1" applyAlignment="1">
      <alignment vertical="center"/>
      <protection/>
    </xf>
    <xf numFmtId="167" fontId="19" fillId="0" borderId="0" xfId="56" applyNumberFormat="1" applyFont="1" applyFill="1" applyBorder="1" applyAlignment="1">
      <alignment vertical="center"/>
      <protection/>
    </xf>
    <xf numFmtId="165" fontId="119" fillId="0" borderId="0" xfId="44" applyNumberFormat="1" applyFont="1" applyFill="1" applyBorder="1" applyAlignment="1">
      <alignment vertical="center"/>
    </xf>
    <xf numFmtId="165" fontId="4" fillId="0" borderId="0" xfId="44" applyNumberFormat="1" applyFont="1" applyFill="1" applyBorder="1" applyAlignment="1">
      <alignment vertical="center"/>
    </xf>
    <xf numFmtId="0" fontId="13" fillId="0" borderId="0" xfId="56" applyFont="1" applyBorder="1" applyAlignment="1">
      <alignment horizontal="center" vertical="center"/>
      <protection/>
    </xf>
    <xf numFmtId="165" fontId="119" fillId="0" borderId="0" xfId="44" applyNumberFormat="1" applyFont="1" applyBorder="1" applyAlignment="1">
      <alignment vertical="center"/>
    </xf>
    <xf numFmtId="166" fontId="23" fillId="0" borderId="0" xfId="56" applyNumberFormat="1" applyFont="1" applyBorder="1" applyAlignment="1">
      <alignment vertical="center"/>
      <protection/>
    </xf>
    <xf numFmtId="167" fontId="19" fillId="0" borderId="0" xfId="56" applyNumberFormat="1" applyFont="1" applyBorder="1" applyAlignment="1">
      <alignment vertical="center"/>
      <protection/>
    </xf>
    <xf numFmtId="0" fontId="15" fillId="0" borderId="0" xfId="56" applyFont="1" applyBorder="1" applyAlignment="1">
      <alignment horizontal="left" vertical="center"/>
      <protection/>
    </xf>
    <xf numFmtId="0" fontId="29" fillId="0" borderId="0" xfId="56" applyFont="1" applyBorder="1" applyAlignment="1">
      <alignment horizontal="left" vertical="center"/>
      <protection/>
    </xf>
    <xf numFmtId="165" fontId="20" fillId="0" borderId="0" xfId="44" applyNumberFormat="1" applyFont="1" applyAlignment="1">
      <alignment horizontal="right" vertical="center"/>
    </xf>
    <xf numFmtId="165" fontId="19" fillId="0" borderId="0" xfId="44" applyNumberFormat="1" applyFont="1" applyAlignment="1">
      <alignment vertical="center"/>
    </xf>
    <xf numFmtId="165" fontId="114" fillId="0" borderId="0" xfId="44" applyNumberFormat="1" applyFont="1" applyAlignment="1">
      <alignment vertical="center"/>
    </xf>
    <xf numFmtId="166" fontId="19" fillId="0" borderId="0" xfId="56" applyNumberFormat="1" applyFont="1" applyAlignment="1">
      <alignment vertical="center"/>
      <protection/>
    </xf>
    <xf numFmtId="167" fontId="15" fillId="0" borderId="0" xfId="56" applyNumberFormat="1" applyFont="1" applyBorder="1" applyAlignment="1">
      <alignment vertical="center"/>
      <protection/>
    </xf>
    <xf numFmtId="0" fontId="0" fillId="0" borderId="0" xfId="56" applyFont="1" applyAlignment="1">
      <alignment vertical="center"/>
      <protection/>
    </xf>
    <xf numFmtId="164" fontId="18" fillId="0" borderId="0" xfId="56" applyNumberFormat="1" applyFont="1" applyAlignment="1">
      <alignment vertical="center"/>
      <protection/>
    </xf>
    <xf numFmtId="165" fontId="18" fillId="0" borderId="0" xfId="44" applyNumberFormat="1" applyFont="1" applyAlignment="1">
      <alignment vertical="center"/>
    </xf>
    <xf numFmtId="165" fontId="102" fillId="0" borderId="0" xfId="44" applyNumberFormat="1" applyFont="1" applyAlignment="1">
      <alignment vertical="center"/>
    </xf>
    <xf numFmtId="166" fontId="18" fillId="0" borderId="0" xfId="56" applyNumberFormat="1" applyFont="1" applyAlignment="1">
      <alignment vertical="center"/>
      <protection/>
    </xf>
    <xf numFmtId="164" fontId="17" fillId="0" borderId="0" xfId="56" applyNumberFormat="1" applyFont="1" applyAlignment="1">
      <alignment vertical="center"/>
      <protection/>
    </xf>
    <xf numFmtId="0" fontId="29" fillId="0" borderId="0" xfId="56" applyFont="1">
      <alignment/>
      <protection/>
    </xf>
    <xf numFmtId="165" fontId="16" fillId="0" borderId="0" xfId="44" applyNumberFormat="1" applyFont="1" applyAlignment="1">
      <alignment horizontal="right"/>
    </xf>
    <xf numFmtId="165" fontId="0" fillId="0" borderId="0" xfId="44" applyNumberFormat="1" applyFont="1" applyAlignment="1">
      <alignment/>
    </xf>
    <xf numFmtId="165" fontId="99" fillId="0" borderId="0" xfId="44" applyNumberFormat="1" applyFont="1" applyAlignment="1">
      <alignment/>
    </xf>
    <xf numFmtId="166" fontId="15" fillId="0" borderId="0" xfId="56" applyNumberFormat="1">
      <alignment/>
      <protection/>
    </xf>
    <xf numFmtId="0" fontId="15" fillId="0" borderId="0" xfId="56" applyAlignment="1">
      <alignment horizontal="center"/>
      <protection/>
    </xf>
    <xf numFmtId="164" fontId="15" fillId="0" borderId="0" xfId="56" applyNumberFormat="1" applyFont="1" applyAlignment="1">
      <alignment vertical="center"/>
      <protection/>
    </xf>
    <xf numFmtId="0" fontId="3" fillId="0" borderId="0" xfId="0" applyFont="1" applyAlignment="1">
      <alignment horizontal="center"/>
    </xf>
    <xf numFmtId="0" fontId="8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6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/>
      <protection/>
    </xf>
    <xf numFmtId="0" fontId="9" fillId="0" borderId="0" xfId="57" applyFont="1" applyAlignment="1">
      <alignment horizontal="right"/>
      <protection/>
    </xf>
    <xf numFmtId="1" fontId="6" fillId="0" borderId="16" xfId="56" applyNumberFormat="1" applyFont="1" applyFill="1" applyBorder="1" applyAlignment="1">
      <alignment horizontal="center" vertical="center" wrapText="1"/>
      <protection/>
    </xf>
    <xf numFmtId="1" fontId="6" fillId="0" borderId="14" xfId="56" applyNumberFormat="1" applyFont="1" applyFill="1" applyBorder="1" applyAlignment="1">
      <alignment horizontal="center" vertical="center" wrapText="1"/>
      <protection/>
    </xf>
    <xf numFmtId="1" fontId="6" fillId="0" borderId="17" xfId="56" applyNumberFormat="1" applyFont="1" applyFill="1" applyBorder="1" applyAlignment="1">
      <alignment horizontal="center" vertical="center" wrapText="1"/>
      <protection/>
    </xf>
    <xf numFmtId="1" fontId="6" fillId="0" borderId="13" xfId="56" applyNumberFormat="1" applyFont="1" applyFill="1" applyBorder="1" applyAlignment="1">
      <alignment horizontal="center" vertical="center" wrapText="1"/>
      <protection/>
    </xf>
    <xf numFmtId="1" fontId="6" fillId="0" borderId="20" xfId="56" applyNumberFormat="1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13" fillId="0" borderId="20" xfId="56" applyFont="1" applyFill="1" applyBorder="1" applyAlignment="1">
      <alignment horizontal="center" vertical="center" wrapText="1"/>
      <protection/>
    </xf>
    <xf numFmtId="3" fontId="26" fillId="0" borderId="0" xfId="56" applyNumberFormat="1" applyFont="1" applyAlignment="1">
      <alignment horizontal="left" wrapText="1"/>
      <protection/>
    </xf>
    <xf numFmtId="0" fontId="15" fillId="0" borderId="0" xfId="56" applyAlignment="1">
      <alignment horizontal="left"/>
      <protection/>
    </xf>
    <xf numFmtId="3" fontId="34" fillId="0" borderId="22" xfId="56" applyNumberFormat="1" applyFont="1" applyBorder="1" applyAlignment="1">
      <alignment horizontal="center" vertical="center" wrapText="1"/>
      <protection/>
    </xf>
    <xf numFmtId="0" fontId="13" fillId="0" borderId="13" xfId="56" applyFont="1" applyFill="1" applyBorder="1" applyAlignment="1">
      <alignment horizontal="center" vertical="center"/>
      <protection/>
    </xf>
    <xf numFmtId="0" fontId="13" fillId="0" borderId="20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20" xfId="56" applyFont="1" applyFill="1" applyBorder="1" applyAlignment="1">
      <alignment horizontal="center" vertical="center"/>
      <protection/>
    </xf>
    <xf numFmtId="0" fontId="27" fillId="0" borderId="13" xfId="56" applyFont="1" applyFill="1" applyBorder="1" applyAlignment="1">
      <alignment horizontal="center" vertical="center"/>
      <protection/>
    </xf>
    <xf numFmtId="0" fontId="27" fillId="0" borderId="20" xfId="56" applyFont="1" applyFill="1" applyBorder="1" applyAlignment="1">
      <alignment horizontal="center" vertical="center"/>
      <protection/>
    </xf>
    <xf numFmtId="165" fontId="6" fillId="0" borderId="13" xfId="44" applyNumberFormat="1" applyFont="1" applyFill="1" applyBorder="1" applyAlignment="1">
      <alignment horizontal="center" vertical="center" wrapText="1"/>
    </xf>
    <xf numFmtId="165" fontId="6" fillId="0" borderId="20" xfId="44" applyNumberFormat="1" applyFont="1" applyFill="1" applyBorder="1" applyAlignment="1">
      <alignment horizontal="center" vertical="center" wrapText="1"/>
    </xf>
    <xf numFmtId="165" fontId="13" fillId="0" borderId="20" xfId="44" applyNumberFormat="1" applyFont="1" applyFill="1" applyBorder="1" applyAlignment="1">
      <alignment horizontal="center" vertical="center" wrapText="1"/>
    </xf>
    <xf numFmtId="165" fontId="94" fillId="0" borderId="13" xfId="44" applyNumberFormat="1" applyFont="1" applyFill="1" applyBorder="1" applyAlignment="1">
      <alignment horizontal="center" vertical="center" wrapText="1"/>
    </xf>
    <xf numFmtId="165" fontId="94" fillId="0" borderId="20" xfId="44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3. Bieu 20-2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46">
      <selection activeCell="F53" sqref="F53"/>
    </sheetView>
  </sheetViews>
  <sheetFormatPr defaultColWidth="8.66015625" defaultRowHeight="18"/>
  <cols>
    <col min="1" max="1" width="5.58203125" style="1" customWidth="1"/>
    <col min="2" max="2" width="36.91015625" style="1" customWidth="1"/>
    <col min="3" max="3" width="12.58203125" style="59" customWidth="1"/>
    <col min="4" max="4" width="9.33203125" style="76" customWidth="1"/>
    <col min="5" max="5" width="16.33203125" style="2" customWidth="1"/>
    <col min="6" max="6" width="15.33203125" style="1" customWidth="1"/>
    <col min="7" max="16384" width="8.66015625" style="1" customWidth="1"/>
  </cols>
  <sheetData>
    <row r="1" ht="18.75">
      <c r="A1" s="3" t="s">
        <v>235</v>
      </c>
    </row>
    <row r="3" spans="2:5" s="4" customFormat="1" ht="18.75">
      <c r="B3" s="3" t="s">
        <v>15</v>
      </c>
      <c r="C3" s="60"/>
      <c r="D3" s="77"/>
      <c r="E3" s="5"/>
    </row>
    <row r="4" spans="2:5" s="4" customFormat="1" ht="18.75">
      <c r="B4" s="3"/>
      <c r="C4" s="60"/>
      <c r="D4" s="77"/>
      <c r="E4" s="5"/>
    </row>
    <row r="5" spans="2:5" s="4" customFormat="1" ht="18.75">
      <c r="B5" s="375" t="s">
        <v>272</v>
      </c>
      <c r="C5" s="375"/>
      <c r="D5" s="375"/>
      <c r="E5" s="375"/>
    </row>
    <row r="6" spans="2:5" s="4" customFormat="1" ht="18.75">
      <c r="B6" s="26"/>
      <c r="C6" s="26"/>
      <c r="D6" s="26"/>
      <c r="E6" s="26"/>
    </row>
    <row r="7" spans="2:5" s="4" customFormat="1" ht="27" customHeight="1">
      <c r="B7" s="22" t="s">
        <v>273</v>
      </c>
      <c r="C7" s="61"/>
      <c r="D7" s="78"/>
      <c r="E7" s="27"/>
    </row>
    <row r="8" spans="2:5" s="6" customFormat="1" ht="21.75" customHeight="1">
      <c r="B8" s="28" t="s">
        <v>0</v>
      </c>
      <c r="C8" s="31" t="s">
        <v>16</v>
      </c>
      <c r="D8" s="79" t="s">
        <v>17</v>
      </c>
      <c r="E8" s="13" t="s">
        <v>29</v>
      </c>
    </row>
    <row r="9" spans="2:5" s="6" customFormat="1" ht="21.75" customHeight="1">
      <c r="B9" s="8" t="s">
        <v>1</v>
      </c>
      <c r="C9" s="9"/>
      <c r="D9" s="13"/>
      <c r="E9" s="10"/>
    </row>
    <row r="10" spans="2:5" s="4" customFormat="1" ht="21.75" customHeight="1">
      <c r="B10" s="8" t="s">
        <v>2</v>
      </c>
      <c r="C10" s="9" t="s">
        <v>274</v>
      </c>
      <c r="D10" s="79">
        <f>4143-D11-D12-D13</f>
        <v>2848</v>
      </c>
      <c r="E10" s="10">
        <f>0.8*670000*D10*10</f>
        <v>15265280000</v>
      </c>
    </row>
    <row r="11" spans="2:5" s="4" customFormat="1" ht="21.75" customHeight="1">
      <c r="B11" s="8" t="s">
        <v>3</v>
      </c>
      <c r="C11" s="9"/>
      <c r="D11" s="79">
        <v>92</v>
      </c>
      <c r="E11" s="10"/>
    </row>
    <row r="12" spans="2:5" s="4" customFormat="1" ht="21.75" customHeight="1">
      <c r="B12" s="8" t="s">
        <v>4</v>
      </c>
      <c r="C12" s="9"/>
      <c r="D12" s="13">
        <v>20</v>
      </c>
      <c r="E12" s="23"/>
    </row>
    <row r="13" spans="2:7" s="4" customFormat="1" ht="21.75" customHeight="1">
      <c r="B13" s="8" t="s">
        <v>22</v>
      </c>
      <c r="C13" s="9"/>
      <c r="D13" s="79">
        <v>1183</v>
      </c>
      <c r="E13" s="10"/>
      <c r="G13" s="5"/>
    </row>
    <row r="14" spans="2:5" s="4" customFormat="1" ht="21.75" customHeight="1">
      <c r="B14" s="8" t="s">
        <v>5</v>
      </c>
      <c r="C14" s="9"/>
      <c r="D14" s="13"/>
      <c r="E14" s="10"/>
    </row>
    <row r="15" spans="2:5" s="4" customFormat="1" ht="21.75" customHeight="1">
      <c r="B15" s="8" t="s">
        <v>6</v>
      </c>
      <c r="C15" s="9" t="s">
        <v>226</v>
      </c>
      <c r="D15" s="79">
        <v>1024</v>
      </c>
      <c r="E15" s="10">
        <f>300000*D15*10</f>
        <v>3072000000</v>
      </c>
    </row>
    <row r="16" spans="2:5" s="4" customFormat="1" ht="21.75" customHeight="1">
      <c r="B16" s="8" t="s">
        <v>33</v>
      </c>
      <c r="C16" s="9" t="s">
        <v>42</v>
      </c>
      <c r="D16" s="79">
        <v>483</v>
      </c>
      <c r="E16" s="10">
        <f>1050000*10*D16</f>
        <v>5071500000</v>
      </c>
    </row>
    <row r="17" spans="2:5" s="4" customFormat="1" ht="21.75" customHeight="1">
      <c r="B17" s="8"/>
      <c r="C17" s="9"/>
      <c r="D17" s="79"/>
      <c r="E17" s="10"/>
    </row>
    <row r="18" spans="2:5" s="4" customFormat="1" ht="21.75" customHeight="1">
      <c r="B18" s="8" t="s">
        <v>7</v>
      </c>
      <c r="C18" s="9"/>
      <c r="D18" s="13"/>
      <c r="E18" s="10">
        <f>120000*D18*10</f>
        <v>0</v>
      </c>
    </row>
    <row r="19" spans="2:5" s="4" customFormat="1" ht="21.75" customHeight="1">
      <c r="B19" s="8" t="s">
        <v>19</v>
      </c>
      <c r="C19" s="9" t="s">
        <v>275</v>
      </c>
      <c r="D19" s="13">
        <v>240</v>
      </c>
      <c r="E19" s="10">
        <f>1005000*D19*10</f>
        <v>2412000000</v>
      </c>
    </row>
    <row r="20" spans="2:5" s="4" customFormat="1" ht="21.75" customHeight="1">
      <c r="B20" s="8" t="s">
        <v>20</v>
      </c>
      <c r="C20" s="9" t="s">
        <v>276</v>
      </c>
      <c r="D20" s="13">
        <v>29</v>
      </c>
      <c r="E20" s="10">
        <f>1675000*D20*10</f>
        <v>485750000</v>
      </c>
    </row>
    <row r="21" spans="2:5" s="4" customFormat="1" ht="21.75" customHeight="1">
      <c r="B21" s="8" t="s">
        <v>8</v>
      </c>
      <c r="C21" s="9"/>
      <c r="D21" s="13"/>
      <c r="E21" s="10"/>
    </row>
    <row r="22" spans="2:5" s="4" customFormat="1" ht="21.75" customHeight="1">
      <c r="B22" s="8" t="s">
        <v>2</v>
      </c>
      <c r="C22" s="9" t="s">
        <v>277</v>
      </c>
      <c r="D22" s="79">
        <v>488</v>
      </c>
      <c r="E22" s="10">
        <f>250000*D22*33</f>
        <v>4026000000</v>
      </c>
    </row>
    <row r="23" spans="2:5" s="4" customFormat="1" ht="21.75" customHeight="1">
      <c r="B23" s="8" t="s">
        <v>9</v>
      </c>
      <c r="C23" s="9"/>
      <c r="D23" s="13"/>
      <c r="E23" s="10"/>
    </row>
    <row r="24" spans="2:5" s="4" customFormat="1" ht="21.75" customHeight="1">
      <c r="B24" s="8" t="s">
        <v>2</v>
      </c>
      <c r="C24" s="9"/>
      <c r="D24" s="13"/>
      <c r="E24" s="10">
        <f>130000*D24*32</f>
        <v>0</v>
      </c>
    </row>
    <row r="25" spans="2:5" s="4" customFormat="1" ht="21.75" customHeight="1">
      <c r="B25" s="8" t="s">
        <v>10</v>
      </c>
      <c r="C25" s="9"/>
      <c r="D25" s="13"/>
      <c r="E25" s="10"/>
    </row>
    <row r="26" spans="2:5" s="4" customFormat="1" ht="21.75" customHeight="1">
      <c r="B26" s="8" t="s">
        <v>2</v>
      </c>
      <c r="C26" s="9"/>
      <c r="D26" s="13"/>
      <c r="E26" s="10">
        <f>1500000*D26</f>
        <v>0</v>
      </c>
    </row>
    <row r="27" spans="2:5" s="4" customFormat="1" ht="21.75" customHeight="1">
      <c r="B27" s="8" t="s">
        <v>230</v>
      </c>
      <c r="C27" s="9" t="s">
        <v>227</v>
      </c>
      <c r="D27" s="13">
        <v>1155</v>
      </c>
      <c r="E27" s="10">
        <f>280000*10*D27</f>
        <v>3234000000</v>
      </c>
    </row>
    <row r="28" spans="2:5" s="4" customFormat="1" ht="21.75" customHeight="1">
      <c r="B28" s="8" t="s">
        <v>231</v>
      </c>
      <c r="C28" s="9"/>
      <c r="D28" s="13"/>
      <c r="E28" s="10">
        <f>225000*20*D28*80%</f>
        <v>0</v>
      </c>
    </row>
    <row r="29" spans="2:5" s="4" customFormat="1" ht="21.75" customHeight="1">
      <c r="B29" s="8" t="s">
        <v>39</v>
      </c>
      <c r="C29" s="9" t="s">
        <v>228</v>
      </c>
      <c r="D29" s="13">
        <v>60</v>
      </c>
      <c r="E29" s="10">
        <f>29300000*D29*0.8</f>
        <v>1406400000</v>
      </c>
    </row>
    <row r="30" spans="2:5" s="4" customFormat="1" ht="21.75" customHeight="1">
      <c r="B30" s="8" t="s">
        <v>40</v>
      </c>
      <c r="C30" s="9" t="s">
        <v>279</v>
      </c>
      <c r="D30" s="13">
        <v>150</v>
      </c>
      <c r="E30" s="10">
        <f>48000000*D30*0.7</f>
        <v>5040000000</v>
      </c>
    </row>
    <row r="31" spans="2:5" s="4" customFormat="1" ht="21.75" customHeight="1">
      <c r="B31" s="8" t="s">
        <v>232</v>
      </c>
      <c r="C31" s="9"/>
      <c r="D31" s="13"/>
      <c r="E31" s="10"/>
    </row>
    <row r="32" spans="1:5" s="4" customFormat="1" ht="21.75" customHeight="1">
      <c r="A32" s="4" t="s">
        <v>30</v>
      </c>
      <c r="B32" s="8" t="s">
        <v>31</v>
      </c>
      <c r="C32" s="9" t="s">
        <v>278</v>
      </c>
      <c r="D32" s="13">
        <v>55</v>
      </c>
      <c r="E32" s="10">
        <f>43500000*D32*30%</f>
        <v>717750000</v>
      </c>
    </row>
    <row r="33" spans="2:5" s="4" customFormat="1" ht="21.75" customHeight="1">
      <c r="B33" s="8"/>
      <c r="C33" s="9"/>
      <c r="D33" s="13"/>
      <c r="E33" s="10">
        <f>9450000*D33*70%</f>
        <v>0</v>
      </c>
    </row>
    <row r="34" spans="2:5" s="4" customFormat="1" ht="21.75" customHeight="1">
      <c r="B34" s="8" t="s">
        <v>233</v>
      </c>
      <c r="C34" s="62" t="s">
        <v>43</v>
      </c>
      <c r="D34" s="13"/>
      <c r="E34" s="23"/>
    </row>
    <row r="35" spans="2:5" s="4" customFormat="1" ht="21.75" customHeight="1">
      <c r="B35" s="8" t="s">
        <v>234</v>
      </c>
      <c r="C35" s="9"/>
      <c r="D35" s="13"/>
      <c r="E35" s="23"/>
    </row>
    <row r="36" spans="2:6" s="4" customFormat="1" ht="21.75" customHeight="1">
      <c r="B36" s="63" t="s">
        <v>18</v>
      </c>
      <c r="C36" s="64"/>
      <c r="D36" s="80"/>
      <c r="E36" s="65"/>
      <c r="F36" s="5"/>
    </row>
    <row r="37" spans="2:5" s="4" customFormat="1" ht="21.75" customHeight="1">
      <c r="B37" s="15" t="s">
        <v>69</v>
      </c>
      <c r="C37" s="66"/>
      <c r="D37" s="81"/>
      <c r="E37" s="25"/>
    </row>
    <row r="38" spans="2:5" s="14" customFormat="1" ht="21.75" customHeight="1">
      <c r="B38" s="18"/>
      <c r="C38" s="61"/>
      <c r="D38" s="78"/>
      <c r="E38" s="19"/>
    </row>
    <row r="39" spans="2:5" s="4" customFormat="1" ht="21.75" customHeight="1">
      <c r="B39" s="24" t="s">
        <v>21</v>
      </c>
      <c r="C39" s="67"/>
      <c r="D39" s="82"/>
      <c r="E39" s="17"/>
    </row>
    <row r="40" spans="2:5" s="4" customFormat="1" ht="21.75" customHeight="1">
      <c r="B40" s="16"/>
      <c r="C40" s="67"/>
      <c r="D40" s="82"/>
      <c r="E40" s="17"/>
    </row>
    <row r="41" spans="2:5" s="4" customFormat="1" ht="21.75" customHeight="1">
      <c r="B41" s="12" t="s">
        <v>11</v>
      </c>
      <c r="C41" s="30" t="s">
        <v>16</v>
      </c>
      <c r="D41" s="7" t="s">
        <v>17</v>
      </c>
      <c r="E41" s="7" t="s">
        <v>24</v>
      </c>
    </row>
    <row r="42" spans="2:5" s="4" customFormat="1" ht="21.75" customHeight="1">
      <c r="B42" s="20" t="s">
        <v>23</v>
      </c>
      <c r="C42" s="68"/>
      <c r="D42" s="83">
        <v>1275</v>
      </c>
      <c r="E42" s="69"/>
    </row>
    <row r="43" spans="2:5" s="4" customFormat="1" ht="21.75" customHeight="1">
      <c r="B43" s="8" t="s">
        <v>32</v>
      </c>
      <c r="C43" s="9"/>
      <c r="D43" s="13"/>
      <c r="E43" s="70">
        <f>E44+E49+E54</f>
        <v>1538700000</v>
      </c>
    </row>
    <row r="44" spans="2:5" s="4" customFormat="1" ht="21.75" customHeight="1">
      <c r="B44" s="8" t="s">
        <v>229</v>
      </c>
      <c r="C44" s="9"/>
      <c r="D44" s="13"/>
      <c r="E44" s="10">
        <f>E45+E46+E47</f>
        <v>1242000000</v>
      </c>
    </row>
    <row r="45" spans="2:5" s="14" customFormat="1" ht="15.75">
      <c r="B45" s="8" t="s">
        <v>34</v>
      </c>
      <c r="C45" s="9" t="s">
        <v>280</v>
      </c>
      <c r="D45" s="13">
        <v>22</v>
      </c>
      <c r="E45" s="10">
        <f>800000*10*D45</f>
        <v>176000000</v>
      </c>
    </row>
    <row r="46" spans="2:5" s="14" customFormat="1" ht="15.75">
      <c r="B46" s="8" t="s">
        <v>27</v>
      </c>
      <c r="C46" s="9" t="s">
        <v>281</v>
      </c>
      <c r="D46" s="13">
        <v>68</v>
      </c>
      <c r="E46" s="10">
        <f>D46*700000*10</f>
        <v>476000000</v>
      </c>
    </row>
    <row r="47" spans="2:5" s="14" customFormat="1" ht="15.75">
      <c r="B47" s="8" t="s">
        <v>28</v>
      </c>
      <c r="C47" s="9" t="s">
        <v>282</v>
      </c>
      <c r="D47" s="13">
        <v>100</v>
      </c>
      <c r="E47" s="10">
        <f>D47*590000*10</f>
        <v>590000000</v>
      </c>
    </row>
    <row r="48" spans="2:5" s="14" customFormat="1" ht="15.75">
      <c r="B48" s="8"/>
      <c r="C48" s="9"/>
      <c r="D48" s="13"/>
      <c r="E48" s="10"/>
    </row>
    <row r="49" spans="2:5" s="4" customFormat="1" ht="15.75">
      <c r="B49" s="71" t="s">
        <v>26</v>
      </c>
      <c r="C49" s="9"/>
      <c r="D49" s="13"/>
      <c r="E49" s="10">
        <f>E50+E51+E52</f>
        <v>140100000</v>
      </c>
    </row>
    <row r="50" spans="2:5" s="4" customFormat="1" ht="15.75">
      <c r="B50" s="71" t="s">
        <v>34</v>
      </c>
      <c r="C50" s="9" t="s">
        <v>36</v>
      </c>
      <c r="D50" s="13">
        <v>38</v>
      </c>
      <c r="E50" s="10">
        <f>150000*D50*10</f>
        <v>57000000</v>
      </c>
    </row>
    <row r="51" spans="2:5" s="4" customFormat="1" ht="15.75">
      <c r="B51" s="8" t="s">
        <v>27</v>
      </c>
      <c r="C51" s="9" t="s">
        <v>37</v>
      </c>
      <c r="D51" s="13">
        <v>49</v>
      </c>
      <c r="E51" s="10">
        <f>90000*D51*10</f>
        <v>44100000</v>
      </c>
    </row>
    <row r="52" spans="2:5" s="4" customFormat="1" ht="15.75">
      <c r="B52" s="8" t="s">
        <v>28</v>
      </c>
      <c r="C52" s="9" t="s">
        <v>38</v>
      </c>
      <c r="D52" s="13">
        <v>65</v>
      </c>
      <c r="E52" s="10">
        <f>60000*D52*10</f>
        <v>39000000</v>
      </c>
    </row>
    <row r="53" spans="2:5" s="4" customFormat="1" ht="15.75">
      <c r="B53" s="8"/>
      <c r="C53" s="9"/>
      <c r="D53" s="13"/>
      <c r="E53" s="10"/>
    </row>
    <row r="54" spans="2:5" s="4" customFormat="1" ht="15.75">
      <c r="B54" s="8" t="s">
        <v>25</v>
      </c>
      <c r="C54" s="9"/>
      <c r="D54" s="13"/>
      <c r="E54" s="10">
        <f>E55+E56</f>
        <v>156600000</v>
      </c>
    </row>
    <row r="55" spans="2:5" s="4" customFormat="1" ht="15.75">
      <c r="B55" s="71" t="s">
        <v>34</v>
      </c>
      <c r="C55" s="9" t="s">
        <v>41</v>
      </c>
      <c r="D55" s="13">
        <v>20</v>
      </c>
      <c r="E55" s="10">
        <f>240000*D55*9</f>
        <v>43200000</v>
      </c>
    </row>
    <row r="56" spans="2:5" ht="18.75">
      <c r="B56" s="11" t="s">
        <v>27</v>
      </c>
      <c r="C56" s="72" t="s">
        <v>35</v>
      </c>
      <c r="D56" s="84">
        <v>63</v>
      </c>
      <c r="E56" s="73">
        <f>200000*D56*9</f>
        <v>113400000</v>
      </c>
    </row>
    <row r="57" spans="2:5" ht="18.75">
      <c r="B57" s="21"/>
      <c r="C57" s="67"/>
      <c r="D57" s="85"/>
      <c r="E57" s="17"/>
    </row>
    <row r="58" spans="2:5" ht="18.75">
      <c r="B58" s="22" t="s">
        <v>283</v>
      </c>
      <c r="C58" s="74"/>
      <c r="D58" s="82"/>
      <c r="E58" s="17"/>
    </row>
    <row r="59" spans="2:5" ht="18.75">
      <c r="B59" s="20" t="s">
        <v>12</v>
      </c>
      <c r="C59" s="29">
        <v>9155194</v>
      </c>
      <c r="D59" s="82"/>
      <c r="E59" s="88"/>
    </row>
    <row r="60" spans="2:5" ht="18.75">
      <c r="B60" s="8" t="s">
        <v>13</v>
      </c>
      <c r="C60" s="23">
        <v>29244574</v>
      </c>
      <c r="D60" s="82"/>
      <c r="E60" s="88"/>
    </row>
    <row r="61" spans="2:5" ht="18.75">
      <c r="B61" s="8" t="s">
        <v>14</v>
      </c>
      <c r="C61" s="23">
        <v>9005181</v>
      </c>
      <c r="D61" s="82"/>
      <c r="E61" s="88"/>
    </row>
    <row r="62" spans="2:5" ht="18.75">
      <c r="B62" s="11" t="s">
        <v>284</v>
      </c>
      <c r="C62" s="75">
        <v>9101178</v>
      </c>
      <c r="D62" s="82"/>
      <c r="E62" s="17"/>
    </row>
  </sheetData>
  <sheetProtection/>
  <mergeCells count="1">
    <mergeCell ref="B5:E5"/>
  </mergeCells>
  <printOptions/>
  <pageMargins left="0.25" right="0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37">
      <selection activeCell="B16" sqref="B16"/>
    </sheetView>
  </sheetViews>
  <sheetFormatPr defaultColWidth="8.66015625" defaultRowHeight="18"/>
  <cols>
    <col min="1" max="1" width="3.91015625" style="47" customWidth="1"/>
    <col min="2" max="2" width="34.16015625" style="35" customWidth="1"/>
    <col min="3" max="3" width="12.08203125" style="35" customWidth="1"/>
    <col min="4" max="4" width="13.91015625" style="53" customWidth="1"/>
    <col min="5" max="16384" width="8.83203125" style="35" customWidth="1"/>
  </cols>
  <sheetData>
    <row r="1" spans="1:4" s="32" customFormat="1" ht="15.75">
      <c r="A1" s="32" t="s">
        <v>44</v>
      </c>
      <c r="C1" s="33" t="s">
        <v>45</v>
      </c>
      <c r="D1" s="51"/>
    </row>
    <row r="2" spans="1:4" s="32" customFormat="1" ht="15.75">
      <c r="A2" s="33" t="s">
        <v>46</v>
      </c>
      <c r="D2" s="52"/>
    </row>
    <row r="3" ht="12" customHeight="1">
      <c r="A3" s="34"/>
    </row>
    <row r="4" spans="1:4" ht="18.75">
      <c r="A4" s="378" t="s">
        <v>47</v>
      </c>
      <c r="B4" s="378"/>
      <c r="C4" s="378"/>
      <c r="D4" s="378"/>
    </row>
    <row r="5" spans="1:4" ht="29.25" customHeight="1">
      <c r="A5" s="379" t="s">
        <v>287</v>
      </c>
      <c r="B5" s="380"/>
      <c r="C5" s="380"/>
      <c r="D5" s="380"/>
    </row>
    <row r="6" spans="1:4" ht="11.25" customHeight="1">
      <c r="A6" s="381"/>
      <c r="B6" s="381"/>
      <c r="C6" s="381"/>
      <c r="D6" s="381"/>
    </row>
    <row r="7" spans="1:4" s="38" customFormat="1" ht="15" customHeight="1">
      <c r="A7" s="36" t="s">
        <v>48</v>
      </c>
      <c r="B7" s="37" t="s">
        <v>49</v>
      </c>
      <c r="C7" s="37" t="s">
        <v>50</v>
      </c>
      <c r="D7" s="54" t="s">
        <v>51</v>
      </c>
    </row>
    <row r="8" spans="1:4" ht="31.5">
      <c r="A8" s="36" t="s">
        <v>52</v>
      </c>
      <c r="B8" s="39" t="s">
        <v>288</v>
      </c>
      <c r="C8" s="40" t="s">
        <v>53</v>
      </c>
      <c r="D8" s="55"/>
    </row>
    <row r="9" spans="1:4" ht="21" customHeight="1">
      <c r="A9" s="41">
        <v>1</v>
      </c>
      <c r="B9" s="42" t="s">
        <v>54</v>
      </c>
      <c r="C9" s="40" t="s">
        <v>53</v>
      </c>
      <c r="D9" s="87">
        <v>16.75</v>
      </c>
    </row>
    <row r="10" spans="1:4" ht="21" customHeight="1">
      <c r="A10" s="41">
        <v>2</v>
      </c>
      <c r="B10" s="42" t="s">
        <v>55</v>
      </c>
      <c r="C10" s="40" t="s">
        <v>53</v>
      </c>
      <c r="D10" s="87">
        <v>10.05</v>
      </c>
    </row>
    <row r="11" spans="1:4" ht="21" customHeight="1">
      <c r="A11" s="41">
        <v>3</v>
      </c>
      <c r="B11" s="42" t="s">
        <v>56</v>
      </c>
      <c r="C11" s="40" t="s">
        <v>53</v>
      </c>
      <c r="D11" s="87">
        <v>6.7</v>
      </c>
    </row>
    <row r="12" spans="1:4" ht="31.5">
      <c r="A12" s="36" t="s">
        <v>52</v>
      </c>
      <c r="B12" s="39" t="s">
        <v>289</v>
      </c>
      <c r="C12" s="40" t="s">
        <v>53</v>
      </c>
      <c r="D12" s="57"/>
    </row>
    <row r="13" spans="1:4" ht="24" customHeight="1">
      <c r="A13" s="41">
        <v>1</v>
      </c>
      <c r="B13" s="42" t="s">
        <v>54</v>
      </c>
      <c r="C13" s="40" t="s">
        <v>53</v>
      </c>
      <c r="D13" s="56"/>
    </row>
    <row r="14" spans="1:4" ht="24" customHeight="1">
      <c r="A14" s="41">
        <v>2</v>
      </c>
      <c r="B14" s="42" t="s">
        <v>55</v>
      </c>
      <c r="C14" s="40" t="s">
        <v>53</v>
      </c>
      <c r="D14" s="56"/>
    </row>
    <row r="15" spans="1:4" ht="24" customHeight="1">
      <c r="A15" s="41">
        <v>3</v>
      </c>
      <c r="B15" s="42" t="s">
        <v>56</v>
      </c>
      <c r="C15" s="40" t="s">
        <v>53</v>
      </c>
      <c r="D15" s="56"/>
    </row>
    <row r="16" spans="1:4" ht="31.5">
      <c r="A16" s="36" t="s">
        <v>57</v>
      </c>
      <c r="B16" s="39" t="s">
        <v>290</v>
      </c>
      <c r="C16" s="40" t="s">
        <v>53</v>
      </c>
      <c r="D16" s="57"/>
    </row>
    <row r="17" spans="1:4" ht="23.25" customHeight="1">
      <c r="A17" s="41">
        <v>1</v>
      </c>
      <c r="B17" s="42" t="s">
        <v>56</v>
      </c>
      <c r="C17" s="40" t="s">
        <v>53</v>
      </c>
      <c r="D17" s="86">
        <v>10</v>
      </c>
    </row>
    <row r="18" spans="1:4" ht="23.25" customHeight="1">
      <c r="A18" s="41">
        <v>2</v>
      </c>
      <c r="B18" s="42" t="s">
        <v>58</v>
      </c>
      <c r="C18" s="40" t="s">
        <v>53</v>
      </c>
      <c r="D18" s="56"/>
    </row>
    <row r="19" spans="1:4" ht="20.25" customHeight="1">
      <c r="A19" s="43" t="s">
        <v>59</v>
      </c>
      <c r="B19" s="44" t="s">
        <v>285</v>
      </c>
      <c r="C19" s="41" t="s">
        <v>60</v>
      </c>
      <c r="D19" s="58"/>
    </row>
    <row r="20" spans="1:4" ht="26.25" customHeight="1">
      <c r="A20" s="46">
        <v>1</v>
      </c>
      <c r="B20" s="45" t="s">
        <v>61</v>
      </c>
      <c r="C20" s="41" t="s">
        <v>60</v>
      </c>
      <c r="D20" s="87">
        <v>112.304</v>
      </c>
    </row>
    <row r="21" spans="1:4" ht="26.25" customHeight="1">
      <c r="A21" s="46">
        <v>2</v>
      </c>
      <c r="B21" s="45" t="s">
        <v>62</v>
      </c>
      <c r="C21" s="41" t="s">
        <v>60</v>
      </c>
      <c r="D21" s="87">
        <v>41.434</v>
      </c>
    </row>
    <row r="22" spans="1:4" ht="26.25" customHeight="1">
      <c r="A22" s="46">
        <v>3</v>
      </c>
      <c r="B22" s="45" t="s">
        <v>63</v>
      </c>
      <c r="C22" s="41" t="s">
        <v>60</v>
      </c>
      <c r="D22" s="87"/>
    </row>
    <row r="23" spans="1:4" ht="26.25" customHeight="1">
      <c r="A23" s="46">
        <v>4</v>
      </c>
      <c r="B23" s="45" t="s">
        <v>64</v>
      </c>
      <c r="C23" s="41" t="s">
        <v>60</v>
      </c>
      <c r="D23" s="87">
        <v>38.357</v>
      </c>
    </row>
    <row r="24" spans="3:6" ht="15.75">
      <c r="C24" s="377" t="s">
        <v>286</v>
      </c>
      <c r="D24" s="377"/>
      <c r="E24" s="48"/>
      <c r="F24" s="48"/>
    </row>
    <row r="25" spans="2:6" ht="15.75">
      <c r="B25" s="38" t="s">
        <v>65</v>
      </c>
      <c r="C25" s="376" t="s">
        <v>66</v>
      </c>
      <c r="D25" s="376"/>
      <c r="E25" s="49"/>
      <c r="F25" s="49"/>
    </row>
    <row r="26" spans="2:6" ht="15.75">
      <c r="B26" s="50" t="s">
        <v>67</v>
      </c>
      <c r="C26" s="377" t="s">
        <v>68</v>
      </c>
      <c r="D26" s="377"/>
      <c r="E26" s="49"/>
      <c r="F26" s="49"/>
    </row>
  </sheetData>
  <sheetProtection/>
  <mergeCells count="6">
    <mergeCell ref="C25:D25"/>
    <mergeCell ref="C26:D26"/>
    <mergeCell ref="A4:D4"/>
    <mergeCell ref="A5:D5"/>
    <mergeCell ref="A6:D6"/>
    <mergeCell ref="C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68"/>
  <sheetViews>
    <sheetView zoomScalePageLayoutView="0" workbookViewId="0" topLeftCell="A61">
      <selection activeCell="Q19" sqref="Q19"/>
    </sheetView>
  </sheetViews>
  <sheetFormatPr defaultColWidth="8.66015625" defaultRowHeight="18"/>
  <cols>
    <col min="1" max="1" width="4.08203125" style="98" customWidth="1"/>
    <col min="2" max="2" width="31.16015625" style="98" customWidth="1"/>
    <col min="3" max="3" width="0.41015625" style="368" hidden="1" customWidth="1"/>
    <col min="4" max="4" width="8.33203125" style="369" hidden="1" customWidth="1"/>
    <col min="5" max="5" width="8.91015625" style="370" customWidth="1"/>
    <col min="6" max="6" width="8.91015625" style="371" customWidth="1"/>
    <col min="7" max="7" width="8.91015625" style="370" hidden="1" customWidth="1"/>
    <col min="8" max="8" width="8.91015625" style="370" customWidth="1"/>
    <col min="9" max="14" width="8.91015625" style="98" hidden="1" customWidth="1"/>
    <col min="15" max="15" width="8.91015625" style="98" customWidth="1"/>
    <col min="16" max="16" width="8.83203125" style="96" customWidth="1"/>
    <col min="17" max="17" width="9.66015625" style="97" bestFit="1" customWidth="1"/>
    <col min="18" max="41" width="8.83203125" style="96" customWidth="1"/>
    <col min="42" max="16384" width="8.83203125" style="98" customWidth="1"/>
  </cols>
  <sheetData>
    <row r="1" spans="1:15" ht="15" customHeight="1">
      <c r="A1" s="89" t="s">
        <v>70</v>
      </c>
      <c r="B1" s="90"/>
      <c r="C1" s="91" t="s">
        <v>236</v>
      </c>
      <c r="D1" s="92"/>
      <c r="E1" s="93"/>
      <c r="F1" s="94"/>
      <c r="G1" s="93"/>
      <c r="H1" s="93"/>
      <c r="I1" s="95"/>
      <c r="J1" s="95"/>
      <c r="K1" s="95"/>
      <c r="L1" s="95"/>
      <c r="M1" s="95"/>
      <c r="N1" s="95"/>
      <c r="O1" s="90"/>
    </row>
    <row r="2" spans="1:15" ht="15.75" customHeight="1">
      <c r="A2" s="99" t="s">
        <v>71</v>
      </c>
      <c r="B2" s="90"/>
      <c r="C2" s="91" t="s">
        <v>237</v>
      </c>
      <c r="D2" s="92"/>
      <c r="E2" s="100"/>
      <c r="F2" s="101"/>
      <c r="G2" s="100"/>
      <c r="H2" s="100"/>
      <c r="I2" s="102"/>
      <c r="J2" s="102"/>
      <c r="K2" s="102"/>
      <c r="L2" s="102"/>
      <c r="M2" s="102"/>
      <c r="N2" s="102"/>
      <c r="O2" s="102"/>
    </row>
    <row r="3" spans="1:15" ht="39.75" customHeight="1">
      <c r="A3" s="103"/>
      <c r="B3" s="104" t="s">
        <v>291</v>
      </c>
      <c r="C3" s="105"/>
      <c r="D3" s="92"/>
      <c r="E3" s="106"/>
      <c r="F3" s="107"/>
      <c r="G3" s="106"/>
      <c r="H3" s="106"/>
      <c r="I3" s="108"/>
      <c r="J3" s="108"/>
      <c r="K3" s="108"/>
      <c r="L3" s="108"/>
      <c r="M3" s="108"/>
      <c r="N3" s="108"/>
      <c r="O3" s="108"/>
    </row>
    <row r="4" spans="1:15" ht="65.25" customHeight="1">
      <c r="A4" s="103"/>
      <c r="B4" s="389" t="s">
        <v>292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</row>
    <row r="5" spans="1:15" ht="18" customHeight="1">
      <c r="A5" s="103"/>
      <c r="B5" s="109"/>
      <c r="C5" s="110"/>
      <c r="D5" s="110"/>
      <c r="E5" s="110"/>
      <c r="F5" s="110"/>
      <c r="G5" s="110"/>
      <c r="H5" s="391" t="s">
        <v>238</v>
      </c>
      <c r="I5" s="391"/>
      <c r="J5" s="391"/>
      <c r="K5" s="391"/>
      <c r="L5" s="391"/>
      <c r="M5" s="391"/>
      <c r="N5" s="391"/>
      <c r="O5" s="391"/>
    </row>
    <row r="6" spans="1:41" s="113" customFormat="1" ht="24.75" customHeight="1">
      <c r="A6" s="392" t="s">
        <v>72</v>
      </c>
      <c r="B6" s="394" t="s">
        <v>73</v>
      </c>
      <c r="C6" s="396" t="s">
        <v>239</v>
      </c>
      <c r="D6" s="398" t="s">
        <v>293</v>
      </c>
      <c r="E6" s="398" t="s">
        <v>294</v>
      </c>
      <c r="F6" s="401" t="s">
        <v>295</v>
      </c>
      <c r="G6" s="398" t="s">
        <v>296</v>
      </c>
      <c r="H6" s="398" t="s">
        <v>297</v>
      </c>
      <c r="I6" s="382" t="s">
        <v>240</v>
      </c>
      <c r="J6" s="383"/>
      <c r="K6" s="383"/>
      <c r="L6" s="383"/>
      <c r="M6" s="384"/>
      <c r="N6" s="385" t="s">
        <v>241</v>
      </c>
      <c r="O6" s="387" t="s">
        <v>74</v>
      </c>
      <c r="P6" s="111"/>
      <c r="Q6" s="112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s="113" customFormat="1" ht="42.75" customHeight="1">
      <c r="A7" s="393"/>
      <c r="B7" s="395"/>
      <c r="C7" s="397"/>
      <c r="D7" s="399"/>
      <c r="E7" s="400"/>
      <c r="F7" s="402"/>
      <c r="G7" s="399"/>
      <c r="H7" s="399" t="s">
        <v>75</v>
      </c>
      <c r="I7" s="114" t="s">
        <v>242</v>
      </c>
      <c r="J7" s="114" t="s">
        <v>243</v>
      </c>
      <c r="K7" s="114" t="s">
        <v>244</v>
      </c>
      <c r="L7" s="114" t="s">
        <v>245</v>
      </c>
      <c r="M7" s="114" t="s">
        <v>246</v>
      </c>
      <c r="N7" s="386" t="s">
        <v>75</v>
      </c>
      <c r="O7" s="388"/>
      <c r="P7" s="111"/>
      <c r="Q7" s="112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s="113" customFormat="1" ht="21.75" customHeight="1">
      <c r="A8" s="115" t="s">
        <v>247</v>
      </c>
      <c r="B8" s="116" t="s">
        <v>298</v>
      </c>
      <c r="C8" s="117"/>
      <c r="D8" s="118"/>
      <c r="E8" s="118"/>
      <c r="F8" s="119"/>
      <c r="G8" s="118"/>
      <c r="H8" s="118"/>
      <c r="I8" s="120"/>
      <c r="J8" s="120"/>
      <c r="K8" s="120"/>
      <c r="L8" s="120"/>
      <c r="M8" s="120"/>
      <c r="N8" s="120"/>
      <c r="O8" s="121"/>
      <c r="P8" s="111"/>
      <c r="Q8" s="112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</row>
    <row r="9" spans="1:41" s="113" customFormat="1" ht="18" customHeight="1">
      <c r="A9" s="122">
        <v>1</v>
      </c>
      <c r="B9" s="123" t="s">
        <v>76</v>
      </c>
      <c r="C9" s="124"/>
      <c r="D9" s="125">
        <f>D10+D11</f>
        <v>23237</v>
      </c>
      <c r="E9" s="125">
        <f>E10+E11</f>
        <v>0</v>
      </c>
      <c r="F9" s="126"/>
      <c r="G9" s="125"/>
      <c r="H9" s="125"/>
      <c r="I9" s="127"/>
      <c r="J9" s="127"/>
      <c r="K9" s="127"/>
      <c r="L9" s="127"/>
      <c r="M9" s="127"/>
      <c r="N9" s="127"/>
      <c r="O9" s="128">
        <f>O10+O11</f>
        <v>25520</v>
      </c>
      <c r="P9" s="111"/>
      <c r="Q9" s="112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</row>
    <row r="10" spans="1:41" s="135" customFormat="1" ht="18" customHeight="1">
      <c r="A10" s="129"/>
      <c r="B10" s="130" t="s">
        <v>77</v>
      </c>
      <c r="C10" s="130"/>
      <c r="D10" s="131">
        <f>17890+2423+2186</f>
        <v>22499</v>
      </c>
      <c r="E10" s="131"/>
      <c r="F10" s="132"/>
      <c r="G10" s="131"/>
      <c r="H10" s="131"/>
      <c r="I10" s="133"/>
      <c r="J10" s="133"/>
      <c r="K10" s="133"/>
      <c r="L10" s="133"/>
      <c r="M10" s="133"/>
      <c r="N10" s="133"/>
      <c r="O10" s="134">
        <v>24800</v>
      </c>
      <c r="P10" s="96"/>
      <c r="Q10" s="97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</row>
    <row r="11" spans="1:41" s="135" customFormat="1" ht="18" customHeight="1">
      <c r="A11" s="129"/>
      <c r="B11" s="130" t="s">
        <v>78</v>
      </c>
      <c r="C11" s="130"/>
      <c r="D11" s="131">
        <v>738</v>
      </c>
      <c r="E11" s="131"/>
      <c r="F11" s="132"/>
      <c r="G11" s="131"/>
      <c r="H11" s="131"/>
      <c r="I11" s="133"/>
      <c r="J11" s="133"/>
      <c r="K11" s="133"/>
      <c r="L11" s="133"/>
      <c r="M11" s="133"/>
      <c r="N11" s="133"/>
      <c r="O11" s="134">
        <v>720</v>
      </c>
      <c r="P11" s="96"/>
      <c r="Q11" s="97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</row>
    <row r="12" spans="1:41" s="113" customFormat="1" ht="18" customHeight="1">
      <c r="A12" s="129">
        <v>2</v>
      </c>
      <c r="B12" s="136" t="s">
        <v>79</v>
      </c>
      <c r="C12" s="130"/>
      <c r="D12" s="137">
        <f>D13+D14+D15</f>
        <v>23237</v>
      </c>
      <c r="E12" s="137">
        <f>E13+E14+E15</f>
        <v>0</v>
      </c>
      <c r="F12" s="138"/>
      <c r="G12" s="137"/>
      <c r="H12" s="137"/>
      <c r="I12" s="139"/>
      <c r="J12" s="139"/>
      <c r="K12" s="139"/>
      <c r="L12" s="139"/>
      <c r="M12" s="139"/>
      <c r="N12" s="139"/>
      <c r="O12" s="140">
        <f>O13+O14+O15</f>
        <v>25520</v>
      </c>
      <c r="P12" s="111"/>
      <c r="Q12" s="112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</row>
    <row r="13" spans="1:41" s="135" customFormat="1" ht="18" customHeight="1">
      <c r="A13" s="129"/>
      <c r="B13" s="130" t="s">
        <v>80</v>
      </c>
      <c r="C13" s="130"/>
      <c r="D13" s="131">
        <f>D10-D14</f>
        <v>13499.4</v>
      </c>
      <c r="E13" s="131"/>
      <c r="F13" s="132"/>
      <c r="G13" s="131"/>
      <c r="H13" s="131"/>
      <c r="I13" s="133"/>
      <c r="J13" s="133"/>
      <c r="K13" s="133"/>
      <c r="L13" s="133"/>
      <c r="M13" s="133"/>
      <c r="N13" s="133"/>
      <c r="O13" s="134">
        <f>O10-O14</f>
        <v>14592</v>
      </c>
      <c r="P13" s="96"/>
      <c r="Q13" s="97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</row>
    <row r="14" spans="1:41" s="135" customFormat="1" ht="18" customHeight="1">
      <c r="A14" s="129"/>
      <c r="B14" s="130" t="s">
        <v>81</v>
      </c>
      <c r="C14" s="130"/>
      <c r="D14" s="131">
        <f>D10*0.4</f>
        <v>8999.6</v>
      </c>
      <c r="E14" s="131"/>
      <c r="F14" s="132"/>
      <c r="G14" s="131"/>
      <c r="H14" s="131"/>
      <c r="I14" s="133"/>
      <c r="J14" s="133"/>
      <c r="K14" s="133"/>
      <c r="L14" s="133"/>
      <c r="M14" s="133"/>
      <c r="N14" s="133"/>
      <c r="O14" s="134">
        <f>O9*0.4</f>
        <v>10208</v>
      </c>
      <c r="P14" s="96"/>
      <c r="Q14" s="97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</row>
    <row r="15" spans="1:41" s="135" customFormat="1" ht="18" customHeight="1">
      <c r="A15" s="141"/>
      <c r="B15" s="142" t="s">
        <v>78</v>
      </c>
      <c r="C15" s="142"/>
      <c r="D15" s="143">
        <f>D11</f>
        <v>738</v>
      </c>
      <c r="E15" s="143"/>
      <c r="F15" s="144"/>
      <c r="G15" s="143"/>
      <c r="H15" s="143"/>
      <c r="I15" s="145"/>
      <c r="J15" s="145"/>
      <c r="K15" s="145"/>
      <c r="L15" s="145"/>
      <c r="M15" s="145"/>
      <c r="N15" s="145"/>
      <c r="O15" s="146">
        <v>720</v>
      </c>
      <c r="P15" s="96"/>
      <c r="Q15" s="97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</row>
    <row r="16" spans="1:41" s="153" customFormat="1" ht="18" customHeight="1">
      <c r="A16" s="115" t="s">
        <v>248</v>
      </c>
      <c r="B16" s="116" t="s">
        <v>299</v>
      </c>
      <c r="C16" s="147"/>
      <c r="D16" s="148">
        <f aca="true" t="shared" si="0" ref="D16:O16">D17+D42+D47</f>
        <v>120561.7</v>
      </c>
      <c r="E16" s="148">
        <f t="shared" si="0"/>
        <v>2307.675459</v>
      </c>
      <c r="F16" s="149">
        <f t="shared" si="0"/>
        <v>94702</v>
      </c>
      <c r="G16" s="148">
        <f t="shared" si="0"/>
        <v>0</v>
      </c>
      <c r="H16" s="148">
        <f t="shared" si="0"/>
        <v>97009.675459</v>
      </c>
      <c r="I16" s="148">
        <f t="shared" si="0"/>
        <v>0</v>
      </c>
      <c r="J16" s="148">
        <f t="shared" si="0"/>
        <v>0</v>
      </c>
      <c r="K16" s="148">
        <f t="shared" si="0"/>
        <v>0</v>
      </c>
      <c r="L16" s="148">
        <f t="shared" si="0"/>
        <v>0</v>
      </c>
      <c r="M16" s="148">
        <f t="shared" si="0"/>
        <v>0</v>
      </c>
      <c r="N16" s="148">
        <f t="shared" si="0"/>
        <v>0</v>
      </c>
      <c r="O16" s="148">
        <f t="shared" si="0"/>
        <v>25520</v>
      </c>
      <c r="P16" s="150"/>
      <c r="Q16" s="151"/>
      <c r="R16" s="152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</row>
    <row r="17" spans="1:41" s="113" customFormat="1" ht="18" customHeight="1">
      <c r="A17" s="115" t="s">
        <v>52</v>
      </c>
      <c r="B17" s="154" t="s">
        <v>82</v>
      </c>
      <c r="C17" s="116"/>
      <c r="D17" s="148">
        <f aca="true" t="shared" si="1" ref="D17:O17">D18+D40</f>
        <v>109846.7</v>
      </c>
      <c r="E17" s="148">
        <f t="shared" si="1"/>
        <v>862.675459</v>
      </c>
      <c r="F17" s="149">
        <f t="shared" si="1"/>
        <v>93812</v>
      </c>
      <c r="G17" s="148">
        <f t="shared" si="1"/>
        <v>0</v>
      </c>
      <c r="H17" s="148">
        <f t="shared" si="1"/>
        <v>94674.675459</v>
      </c>
      <c r="I17" s="148">
        <f t="shared" si="1"/>
        <v>0</v>
      </c>
      <c r="J17" s="148">
        <f t="shared" si="1"/>
        <v>0</v>
      </c>
      <c r="K17" s="148">
        <f t="shared" si="1"/>
        <v>0</v>
      </c>
      <c r="L17" s="148">
        <f t="shared" si="1"/>
        <v>0</v>
      </c>
      <c r="M17" s="148">
        <f t="shared" si="1"/>
        <v>0</v>
      </c>
      <c r="N17" s="148">
        <f t="shared" si="1"/>
        <v>0</v>
      </c>
      <c r="O17" s="148">
        <f t="shared" si="1"/>
        <v>25220</v>
      </c>
      <c r="P17" s="111"/>
      <c r="Q17" s="112"/>
      <c r="R17" s="155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</row>
    <row r="18" spans="1:41" s="113" customFormat="1" ht="18" customHeight="1">
      <c r="A18" s="115">
        <v>1</v>
      </c>
      <c r="B18" s="116" t="s">
        <v>83</v>
      </c>
      <c r="C18" s="116"/>
      <c r="D18" s="148">
        <f aca="true" t="shared" si="2" ref="D18:O18">D19+D37</f>
        <v>88846.7</v>
      </c>
      <c r="E18" s="148">
        <f t="shared" si="2"/>
        <v>862.675459</v>
      </c>
      <c r="F18" s="149">
        <f t="shared" si="2"/>
        <v>85112</v>
      </c>
      <c r="G18" s="148">
        <f t="shared" si="2"/>
        <v>0</v>
      </c>
      <c r="H18" s="148">
        <f t="shared" si="2"/>
        <v>85974.675459</v>
      </c>
      <c r="I18" s="148">
        <f t="shared" si="2"/>
        <v>0</v>
      </c>
      <c r="J18" s="148">
        <f t="shared" si="2"/>
        <v>0</v>
      </c>
      <c r="K18" s="148">
        <f t="shared" si="2"/>
        <v>0</v>
      </c>
      <c r="L18" s="148">
        <f t="shared" si="2"/>
        <v>0</v>
      </c>
      <c r="M18" s="148">
        <f t="shared" si="2"/>
        <v>0</v>
      </c>
      <c r="N18" s="148">
        <f t="shared" si="2"/>
        <v>0</v>
      </c>
      <c r="O18" s="148">
        <f t="shared" si="2"/>
        <v>25220</v>
      </c>
      <c r="P18" s="111"/>
      <c r="Q18" s="112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</row>
    <row r="19" spans="1:41" s="161" customFormat="1" ht="18" customHeight="1">
      <c r="A19" s="156" t="s">
        <v>84</v>
      </c>
      <c r="B19" s="157" t="s">
        <v>249</v>
      </c>
      <c r="C19" s="158"/>
      <c r="D19" s="159">
        <f>SUM(D20:D32)</f>
        <v>85407.7</v>
      </c>
      <c r="E19" s="159">
        <f>SUM(E20:E32)</f>
        <v>384</v>
      </c>
      <c r="F19" s="159">
        <f>SUM(F20:F32)</f>
        <v>82776</v>
      </c>
      <c r="G19" s="159">
        <f aca="true" t="shared" si="3" ref="G19:O19">SUM(G20:G32)</f>
        <v>0</v>
      </c>
      <c r="H19" s="159">
        <f t="shared" si="3"/>
        <v>83160</v>
      </c>
      <c r="I19" s="159">
        <f t="shared" si="3"/>
        <v>0</v>
      </c>
      <c r="J19" s="159">
        <f t="shared" si="3"/>
        <v>0</v>
      </c>
      <c r="K19" s="159">
        <f t="shared" si="3"/>
        <v>0</v>
      </c>
      <c r="L19" s="159">
        <f t="shared" si="3"/>
        <v>0</v>
      </c>
      <c r="M19" s="159">
        <f t="shared" si="3"/>
        <v>0</v>
      </c>
      <c r="N19" s="159">
        <f t="shared" si="3"/>
        <v>0</v>
      </c>
      <c r="O19" s="159">
        <f t="shared" si="3"/>
        <v>22720</v>
      </c>
      <c r="P19" s="160"/>
      <c r="Q19" s="112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</row>
    <row r="20" spans="1:41" s="170" customFormat="1" ht="18" customHeight="1">
      <c r="A20" s="162" t="s">
        <v>85</v>
      </c>
      <c r="B20" s="163" t="s">
        <v>86</v>
      </c>
      <c r="C20" s="164"/>
      <c r="D20" s="165">
        <v>55556</v>
      </c>
      <c r="E20" s="132"/>
      <c r="F20" s="132">
        <f>56786</f>
        <v>56786</v>
      </c>
      <c r="G20" s="132"/>
      <c r="H20" s="132">
        <f>E20+F20-G20</f>
        <v>56786</v>
      </c>
      <c r="I20" s="166"/>
      <c r="J20" s="166"/>
      <c r="K20" s="166"/>
      <c r="L20" s="166"/>
      <c r="M20" s="166"/>
      <c r="N20" s="166"/>
      <c r="O20" s="167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</row>
    <row r="21" spans="1:41" s="170" customFormat="1" ht="18" customHeight="1">
      <c r="A21" s="162" t="s">
        <v>87</v>
      </c>
      <c r="B21" s="171" t="s">
        <v>88</v>
      </c>
      <c r="C21" s="163"/>
      <c r="D21" s="132"/>
      <c r="E21" s="132"/>
      <c r="F21" s="132"/>
      <c r="G21" s="132"/>
      <c r="H21" s="132">
        <f aca="true" t="shared" si="4" ref="H21:H35">E21+F21-G21</f>
        <v>0</v>
      </c>
      <c r="I21" s="166"/>
      <c r="J21" s="166"/>
      <c r="K21" s="166"/>
      <c r="L21" s="166"/>
      <c r="M21" s="166"/>
      <c r="N21" s="166"/>
      <c r="O21" s="167">
        <f>O61</f>
        <v>8000</v>
      </c>
      <c r="P21" s="168"/>
      <c r="Q21" s="169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</row>
    <row r="22" spans="1:41" s="170" customFormat="1" ht="18" customHeight="1">
      <c r="A22" s="162" t="s">
        <v>89</v>
      </c>
      <c r="B22" s="171" t="s">
        <v>90</v>
      </c>
      <c r="C22" s="163"/>
      <c r="D22" s="132"/>
      <c r="E22" s="132"/>
      <c r="F22" s="132"/>
      <c r="G22" s="132"/>
      <c r="H22" s="132">
        <f t="shared" si="4"/>
        <v>0</v>
      </c>
      <c r="I22" s="166"/>
      <c r="J22" s="166"/>
      <c r="K22" s="166"/>
      <c r="L22" s="166"/>
      <c r="M22" s="166"/>
      <c r="N22" s="166"/>
      <c r="O22" s="167"/>
      <c r="P22" s="168"/>
      <c r="Q22" s="169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</row>
    <row r="23" spans="1:41" s="170" customFormat="1" ht="18" customHeight="1">
      <c r="A23" s="162" t="s">
        <v>91</v>
      </c>
      <c r="B23" s="171" t="s">
        <v>92</v>
      </c>
      <c r="C23" s="163"/>
      <c r="D23" s="132">
        <v>6270</v>
      </c>
      <c r="E23" s="132"/>
      <c r="F23" s="132">
        <v>6270</v>
      </c>
      <c r="G23" s="132"/>
      <c r="H23" s="132">
        <f t="shared" si="4"/>
        <v>6270</v>
      </c>
      <c r="I23" s="166"/>
      <c r="J23" s="166"/>
      <c r="K23" s="166"/>
      <c r="L23" s="166"/>
      <c r="M23" s="166"/>
      <c r="N23" s="166"/>
      <c r="O23" s="167">
        <f>O52</f>
        <v>3000</v>
      </c>
      <c r="P23" s="168"/>
      <c r="Q23" s="169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</row>
    <row r="24" spans="1:41" s="170" customFormat="1" ht="18" customHeight="1">
      <c r="A24" s="162" t="s">
        <v>93</v>
      </c>
      <c r="B24" s="171" t="s">
        <v>94</v>
      </c>
      <c r="C24" s="163"/>
      <c r="D24" s="132">
        <v>1960</v>
      </c>
      <c r="E24" s="132"/>
      <c r="F24" s="132">
        <v>1960</v>
      </c>
      <c r="G24" s="132"/>
      <c r="H24" s="132">
        <f t="shared" si="4"/>
        <v>1960</v>
      </c>
      <c r="I24" s="166"/>
      <c r="J24" s="166"/>
      <c r="K24" s="166"/>
      <c r="L24" s="166"/>
      <c r="M24" s="166"/>
      <c r="N24" s="166"/>
      <c r="O24" s="167"/>
      <c r="P24" s="168"/>
      <c r="Q24" s="169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</row>
    <row r="25" spans="1:41" s="170" customFormat="1" ht="18" customHeight="1">
      <c r="A25" s="162" t="s">
        <v>95</v>
      </c>
      <c r="B25" s="171" t="s">
        <v>96</v>
      </c>
      <c r="C25" s="163"/>
      <c r="D25" s="132">
        <f>6090+3577</f>
        <v>9667</v>
      </c>
      <c r="E25" s="132">
        <v>384</v>
      </c>
      <c r="F25" s="132">
        <f>3672+180+5737</f>
        <v>9589</v>
      </c>
      <c r="G25" s="132">
        <f>G51</f>
        <v>0</v>
      </c>
      <c r="H25" s="132">
        <f t="shared" si="4"/>
        <v>9973</v>
      </c>
      <c r="I25" s="166"/>
      <c r="J25" s="166"/>
      <c r="K25" s="166"/>
      <c r="L25" s="166"/>
      <c r="M25" s="166"/>
      <c r="N25" s="166"/>
      <c r="O25" s="167">
        <f>O72+O155</f>
        <v>11720</v>
      </c>
      <c r="P25" s="168"/>
      <c r="Q25" s="169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</row>
    <row r="26" spans="1:41" s="170" customFormat="1" ht="18" customHeight="1">
      <c r="A26" s="162" t="s">
        <v>97</v>
      </c>
      <c r="B26" s="171" t="s">
        <v>98</v>
      </c>
      <c r="C26" s="163"/>
      <c r="D26" s="132">
        <f>5055+200+10304.7-5255</f>
        <v>10304.7</v>
      </c>
      <c r="E26" s="132"/>
      <c r="F26" s="132">
        <f>1596+4902</f>
        <v>6498</v>
      </c>
      <c r="G26" s="132"/>
      <c r="H26" s="132">
        <f t="shared" si="4"/>
        <v>6498</v>
      </c>
      <c r="I26" s="166"/>
      <c r="J26" s="166"/>
      <c r="K26" s="166"/>
      <c r="L26" s="166"/>
      <c r="M26" s="166"/>
      <c r="N26" s="166"/>
      <c r="O26" s="167"/>
      <c r="P26" s="168"/>
      <c r="Q26" s="169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</row>
    <row r="27" spans="1:41" s="170" customFormat="1" ht="18" customHeight="1">
      <c r="A27" s="162" t="s">
        <v>99</v>
      </c>
      <c r="B27" s="171" t="s">
        <v>100</v>
      </c>
      <c r="C27" s="163"/>
      <c r="D27" s="132">
        <f>D125</f>
        <v>0</v>
      </c>
      <c r="E27" s="132"/>
      <c r="F27" s="132">
        <v>172</v>
      </c>
      <c r="G27" s="132"/>
      <c r="H27" s="132">
        <f t="shared" si="4"/>
        <v>172</v>
      </c>
      <c r="I27" s="166"/>
      <c r="J27" s="166"/>
      <c r="K27" s="166"/>
      <c r="L27" s="166"/>
      <c r="M27" s="166"/>
      <c r="N27" s="166"/>
      <c r="O27" s="167"/>
      <c r="P27" s="168"/>
      <c r="Q27" s="169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</row>
    <row r="28" spans="1:41" s="170" customFormat="1" ht="18" customHeight="1">
      <c r="A28" s="162" t="s">
        <v>101</v>
      </c>
      <c r="B28" s="163" t="s">
        <v>300</v>
      </c>
      <c r="C28" s="163"/>
      <c r="D28" s="132">
        <v>1500</v>
      </c>
      <c r="E28" s="132">
        <f>E115</f>
        <v>0</v>
      </c>
      <c r="F28" s="132">
        <v>450</v>
      </c>
      <c r="G28" s="132"/>
      <c r="H28" s="132">
        <f t="shared" si="4"/>
        <v>450</v>
      </c>
      <c r="I28" s="166"/>
      <c r="J28" s="166"/>
      <c r="K28" s="166"/>
      <c r="L28" s="166"/>
      <c r="M28" s="166"/>
      <c r="N28" s="166"/>
      <c r="O28" s="167"/>
      <c r="P28" s="168"/>
      <c r="Q28" s="169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</row>
    <row r="29" spans="1:41" s="170" customFormat="1" ht="18" customHeight="1">
      <c r="A29" s="162" t="s">
        <v>102</v>
      </c>
      <c r="B29" s="163" t="s">
        <v>103</v>
      </c>
      <c r="C29" s="163"/>
      <c r="D29" s="132">
        <f>D102+D103+D105</f>
        <v>0</v>
      </c>
      <c r="E29" s="132"/>
      <c r="F29" s="132">
        <f>F100-F31</f>
        <v>560</v>
      </c>
      <c r="G29" s="132"/>
      <c r="H29" s="132">
        <f t="shared" si="4"/>
        <v>560</v>
      </c>
      <c r="I29" s="166"/>
      <c r="J29" s="166"/>
      <c r="K29" s="166"/>
      <c r="L29" s="166"/>
      <c r="M29" s="166"/>
      <c r="N29" s="166"/>
      <c r="O29" s="167"/>
      <c r="P29" s="168"/>
      <c r="Q29" s="169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</row>
    <row r="30" spans="1:41" s="170" customFormat="1" ht="33.75" customHeight="1">
      <c r="A30" s="162" t="s">
        <v>104</v>
      </c>
      <c r="B30" s="172" t="s">
        <v>301</v>
      </c>
      <c r="C30" s="163"/>
      <c r="D30" s="132"/>
      <c r="E30" s="132"/>
      <c r="F30" s="132">
        <v>311</v>
      </c>
      <c r="G30" s="132"/>
      <c r="H30" s="132">
        <f t="shared" si="4"/>
        <v>311</v>
      </c>
      <c r="I30" s="166"/>
      <c r="J30" s="166"/>
      <c r="K30" s="166"/>
      <c r="L30" s="166"/>
      <c r="M30" s="166"/>
      <c r="N30" s="166"/>
      <c r="O30" s="167"/>
      <c r="P30" s="168"/>
      <c r="Q30" s="169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</row>
    <row r="31" spans="1:41" s="170" customFormat="1" ht="18" customHeight="1">
      <c r="A31" s="162" t="s">
        <v>106</v>
      </c>
      <c r="B31" s="163" t="s">
        <v>105</v>
      </c>
      <c r="C31" s="163"/>
      <c r="D31" s="132">
        <v>150</v>
      </c>
      <c r="E31" s="132"/>
      <c r="F31" s="132">
        <v>180</v>
      </c>
      <c r="G31" s="132"/>
      <c r="H31" s="132">
        <f t="shared" si="4"/>
        <v>180</v>
      </c>
      <c r="I31" s="166"/>
      <c r="J31" s="166"/>
      <c r="K31" s="166"/>
      <c r="L31" s="166"/>
      <c r="M31" s="166"/>
      <c r="N31" s="166"/>
      <c r="O31" s="167"/>
      <c r="P31" s="168"/>
      <c r="Q31" s="169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</row>
    <row r="32" spans="1:41" s="170" customFormat="1" ht="18" customHeight="1" hidden="1">
      <c r="A32" s="162" t="s">
        <v>106</v>
      </c>
      <c r="B32" s="163" t="s">
        <v>107</v>
      </c>
      <c r="C32" s="163"/>
      <c r="D32" s="132">
        <f>D114</f>
        <v>0</v>
      </c>
      <c r="E32" s="132"/>
      <c r="F32" s="132"/>
      <c r="G32" s="132"/>
      <c r="H32" s="132">
        <f t="shared" si="4"/>
        <v>0</v>
      </c>
      <c r="I32" s="166"/>
      <c r="J32" s="166"/>
      <c r="K32" s="166"/>
      <c r="L32" s="166"/>
      <c r="M32" s="166"/>
      <c r="N32" s="166"/>
      <c r="O32" s="167"/>
      <c r="P32" s="168"/>
      <c r="Q32" s="169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</row>
    <row r="33" spans="1:41" s="170" customFormat="1" ht="15.75" hidden="1">
      <c r="A33" s="162"/>
      <c r="B33" s="172"/>
      <c r="C33" s="163"/>
      <c r="D33" s="132"/>
      <c r="E33" s="132"/>
      <c r="F33" s="132"/>
      <c r="G33" s="132"/>
      <c r="H33" s="132">
        <f t="shared" si="4"/>
        <v>0</v>
      </c>
      <c r="I33" s="166"/>
      <c r="J33" s="166"/>
      <c r="K33" s="166"/>
      <c r="L33" s="166"/>
      <c r="M33" s="166"/>
      <c r="N33" s="166"/>
      <c r="O33" s="167"/>
      <c r="P33" s="168"/>
      <c r="Q33" s="169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</row>
    <row r="34" spans="1:41" s="170" customFormat="1" ht="18" customHeight="1" hidden="1">
      <c r="A34" s="162"/>
      <c r="B34" s="163"/>
      <c r="C34" s="163"/>
      <c r="D34" s="132"/>
      <c r="E34" s="132"/>
      <c r="F34" s="132"/>
      <c r="G34" s="132"/>
      <c r="H34" s="132">
        <f t="shared" si="4"/>
        <v>0</v>
      </c>
      <c r="I34" s="166"/>
      <c r="J34" s="166"/>
      <c r="K34" s="166"/>
      <c r="L34" s="166"/>
      <c r="M34" s="166"/>
      <c r="N34" s="166"/>
      <c r="O34" s="167"/>
      <c r="P34" s="168"/>
      <c r="Q34" s="169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</row>
    <row r="35" spans="1:41" s="170" customFormat="1" ht="18" customHeight="1" hidden="1">
      <c r="A35" s="162"/>
      <c r="B35" s="163"/>
      <c r="C35" s="163"/>
      <c r="D35" s="132"/>
      <c r="E35" s="132"/>
      <c r="F35" s="132"/>
      <c r="G35" s="132"/>
      <c r="H35" s="132">
        <f t="shared" si="4"/>
        <v>0</v>
      </c>
      <c r="I35" s="166"/>
      <c r="J35" s="166"/>
      <c r="K35" s="166"/>
      <c r="L35" s="166"/>
      <c r="M35" s="166"/>
      <c r="N35" s="166"/>
      <c r="O35" s="167"/>
      <c r="P35" s="168"/>
      <c r="Q35" s="169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</row>
    <row r="36" spans="1:41" s="161" customFormat="1" ht="18" customHeight="1">
      <c r="A36" s="173"/>
      <c r="B36" s="174" t="s">
        <v>302</v>
      </c>
      <c r="C36" s="175"/>
      <c r="D36" s="138">
        <f>SUM(D24:D35)</f>
        <v>23581.7</v>
      </c>
      <c r="E36" s="138">
        <f>SUM(E24:E35)</f>
        <v>384</v>
      </c>
      <c r="F36" s="138">
        <f>SUM(F24:F35)</f>
        <v>19720</v>
      </c>
      <c r="G36" s="138">
        <f>SUM(G24:G35)</f>
        <v>0</v>
      </c>
      <c r="H36" s="138">
        <f>SUM(H24:H35)</f>
        <v>20104</v>
      </c>
      <c r="I36" s="176"/>
      <c r="J36" s="176"/>
      <c r="K36" s="176"/>
      <c r="L36" s="176"/>
      <c r="M36" s="176"/>
      <c r="N36" s="176"/>
      <c r="O36" s="177"/>
      <c r="P36" s="160"/>
      <c r="Q36" s="178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</row>
    <row r="37" spans="1:41" s="161" customFormat="1" ht="18" customHeight="1">
      <c r="A37" s="173" t="s">
        <v>108</v>
      </c>
      <c r="B37" s="175" t="s">
        <v>250</v>
      </c>
      <c r="C37" s="175"/>
      <c r="D37" s="138">
        <f>D38+D39</f>
        <v>3439</v>
      </c>
      <c r="E37" s="138">
        <f aca="true" t="shared" si="5" ref="E37:O37">E38+E39</f>
        <v>478.675459</v>
      </c>
      <c r="F37" s="138">
        <f t="shared" si="5"/>
        <v>2336</v>
      </c>
      <c r="G37" s="138">
        <f t="shared" si="5"/>
        <v>0</v>
      </c>
      <c r="H37" s="138">
        <f t="shared" si="5"/>
        <v>2814.675459</v>
      </c>
      <c r="I37" s="138">
        <f t="shared" si="5"/>
        <v>0</v>
      </c>
      <c r="J37" s="138">
        <f t="shared" si="5"/>
        <v>0</v>
      </c>
      <c r="K37" s="138">
        <f t="shared" si="5"/>
        <v>0</v>
      </c>
      <c r="L37" s="138">
        <f t="shared" si="5"/>
        <v>0</v>
      </c>
      <c r="M37" s="138">
        <f t="shared" si="5"/>
        <v>0</v>
      </c>
      <c r="N37" s="138">
        <f t="shared" si="5"/>
        <v>0</v>
      </c>
      <c r="O37" s="138">
        <f t="shared" si="5"/>
        <v>2500</v>
      </c>
      <c r="P37" s="160"/>
      <c r="Q37" s="178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</row>
    <row r="38" spans="1:41" s="170" customFormat="1" ht="31.5">
      <c r="A38" s="173"/>
      <c r="B38" s="172" t="s">
        <v>110</v>
      </c>
      <c r="C38" s="163"/>
      <c r="D38" s="132">
        <f>3190+249</f>
        <v>3439</v>
      </c>
      <c r="E38" s="132">
        <f aca="true" t="shared" si="6" ref="E38:N38">E156-E161</f>
        <v>478.675459</v>
      </c>
      <c r="F38" s="132">
        <f>752+1584</f>
        <v>2336</v>
      </c>
      <c r="G38" s="132">
        <f t="shared" si="6"/>
        <v>0</v>
      </c>
      <c r="H38" s="132">
        <f>E38+F38</f>
        <v>2814.675459</v>
      </c>
      <c r="I38" s="132">
        <f t="shared" si="6"/>
        <v>0</v>
      </c>
      <c r="J38" s="132">
        <f t="shared" si="6"/>
        <v>0</v>
      </c>
      <c r="K38" s="132">
        <f t="shared" si="6"/>
        <v>0</v>
      </c>
      <c r="L38" s="132">
        <f t="shared" si="6"/>
        <v>0</v>
      </c>
      <c r="M38" s="132">
        <f t="shared" si="6"/>
        <v>0</v>
      </c>
      <c r="N38" s="132">
        <f t="shared" si="6"/>
        <v>0</v>
      </c>
      <c r="O38" s="132">
        <v>2500</v>
      </c>
      <c r="P38" s="168"/>
      <c r="Q38" s="169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</row>
    <row r="39" spans="1:41" s="170" customFormat="1" ht="18" customHeight="1" hidden="1">
      <c r="A39" s="179"/>
      <c r="B39" s="180" t="s">
        <v>251</v>
      </c>
      <c r="C39" s="180"/>
      <c r="D39" s="144">
        <f>D161</f>
        <v>0</v>
      </c>
      <c r="E39" s="144">
        <f aca="true" t="shared" si="7" ref="E39:O39">E161</f>
        <v>0</v>
      </c>
      <c r="F39" s="144"/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0</v>
      </c>
      <c r="K39" s="144">
        <f t="shared" si="7"/>
        <v>0</v>
      </c>
      <c r="L39" s="144">
        <f t="shared" si="7"/>
        <v>0</v>
      </c>
      <c r="M39" s="144">
        <f t="shared" si="7"/>
        <v>0</v>
      </c>
      <c r="N39" s="144">
        <f t="shared" si="7"/>
        <v>0</v>
      </c>
      <c r="O39" s="144">
        <f t="shared" si="7"/>
        <v>0</v>
      </c>
      <c r="P39" s="168"/>
      <c r="Q39" s="169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</row>
    <row r="40" spans="1:41" s="161" customFormat="1" ht="18" customHeight="1">
      <c r="A40" s="181">
        <v>2</v>
      </c>
      <c r="B40" s="182" t="s">
        <v>112</v>
      </c>
      <c r="C40" s="182"/>
      <c r="D40" s="183">
        <f>D41</f>
        <v>21000</v>
      </c>
      <c r="E40" s="183">
        <f aca="true" t="shared" si="8" ref="E40:O40">E41</f>
        <v>0</v>
      </c>
      <c r="F40" s="183">
        <f t="shared" si="8"/>
        <v>8700</v>
      </c>
      <c r="G40" s="183">
        <f t="shared" si="8"/>
        <v>0</v>
      </c>
      <c r="H40" s="183">
        <f t="shared" si="8"/>
        <v>8700</v>
      </c>
      <c r="I40" s="183">
        <f t="shared" si="8"/>
        <v>0</v>
      </c>
      <c r="J40" s="183">
        <f t="shared" si="8"/>
        <v>0</v>
      </c>
      <c r="K40" s="183">
        <f t="shared" si="8"/>
        <v>0</v>
      </c>
      <c r="L40" s="183">
        <f t="shared" si="8"/>
        <v>0</v>
      </c>
      <c r="M40" s="183">
        <f t="shared" si="8"/>
        <v>0</v>
      </c>
      <c r="N40" s="183">
        <f t="shared" si="8"/>
        <v>0</v>
      </c>
      <c r="O40" s="183">
        <f t="shared" si="8"/>
        <v>0</v>
      </c>
      <c r="P40" s="160"/>
      <c r="Q40" s="178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</row>
    <row r="41" spans="1:41" s="161" customFormat="1" ht="18" customHeight="1">
      <c r="A41" s="184" t="s">
        <v>252</v>
      </c>
      <c r="B41" s="185" t="s">
        <v>123</v>
      </c>
      <c r="C41" s="185"/>
      <c r="D41" s="186">
        <f>D166</f>
        <v>21000</v>
      </c>
      <c r="E41" s="186">
        <f aca="true" t="shared" si="9" ref="E41:O41">E166</f>
        <v>0</v>
      </c>
      <c r="F41" s="186">
        <f t="shared" si="9"/>
        <v>8700</v>
      </c>
      <c r="G41" s="186">
        <f t="shared" si="9"/>
        <v>0</v>
      </c>
      <c r="H41" s="186">
        <f t="shared" si="9"/>
        <v>8700</v>
      </c>
      <c r="I41" s="186">
        <f t="shared" si="9"/>
        <v>0</v>
      </c>
      <c r="J41" s="186">
        <f t="shared" si="9"/>
        <v>0</v>
      </c>
      <c r="K41" s="186">
        <f t="shared" si="9"/>
        <v>0</v>
      </c>
      <c r="L41" s="186">
        <f t="shared" si="9"/>
        <v>0</v>
      </c>
      <c r="M41" s="186">
        <f t="shared" si="9"/>
        <v>0</v>
      </c>
      <c r="N41" s="186">
        <f t="shared" si="9"/>
        <v>0</v>
      </c>
      <c r="O41" s="186">
        <f t="shared" si="9"/>
        <v>0</v>
      </c>
      <c r="P41" s="160"/>
      <c r="Q41" s="178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</row>
    <row r="42" spans="1:41" s="161" customFormat="1" ht="18" customHeight="1">
      <c r="A42" s="187" t="s">
        <v>57</v>
      </c>
      <c r="B42" s="188" t="s">
        <v>114</v>
      </c>
      <c r="C42" s="189"/>
      <c r="D42" s="190">
        <f>D43</f>
        <v>1215</v>
      </c>
      <c r="E42" s="191">
        <f>E43</f>
        <v>1445</v>
      </c>
      <c r="F42" s="192">
        <f>F43</f>
        <v>890</v>
      </c>
      <c r="G42" s="190">
        <f>G43</f>
        <v>0</v>
      </c>
      <c r="H42" s="190">
        <f>H43</f>
        <v>2335</v>
      </c>
      <c r="I42" s="193"/>
      <c r="J42" s="193"/>
      <c r="K42" s="193"/>
      <c r="L42" s="193"/>
      <c r="M42" s="193"/>
      <c r="N42" s="193"/>
      <c r="O42" s="194">
        <f>O169</f>
        <v>300</v>
      </c>
      <c r="P42" s="160"/>
      <c r="Q42" s="178"/>
      <c r="R42" s="195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</row>
    <row r="43" spans="1:41" s="161" customFormat="1" ht="18" customHeight="1">
      <c r="A43" s="196"/>
      <c r="B43" s="157" t="s">
        <v>253</v>
      </c>
      <c r="C43" s="197"/>
      <c r="D43" s="198">
        <f>D44+D45+D46</f>
        <v>1215</v>
      </c>
      <c r="E43" s="198">
        <f>E44+E45+E46</f>
        <v>1445</v>
      </c>
      <c r="F43" s="198">
        <f>F44+F45+F46</f>
        <v>890</v>
      </c>
      <c r="G43" s="198">
        <f>G44+G45+G46</f>
        <v>0</v>
      </c>
      <c r="H43" s="198">
        <f>H44+H45+H46</f>
        <v>2335</v>
      </c>
      <c r="I43" s="199"/>
      <c r="J43" s="199"/>
      <c r="K43" s="199"/>
      <c r="L43" s="199"/>
      <c r="M43" s="199"/>
      <c r="N43" s="199"/>
      <c r="O43" s="200">
        <f>O171</f>
        <v>300</v>
      </c>
      <c r="P43" s="160"/>
      <c r="Q43" s="178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</row>
    <row r="44" spans="1:41" s="161" customFormat="1" ht="18" customHeight="1">
      <c r="A44" s="201" t="s">
        <v>252</v>
      </c>
      <c r="B44" s="163" t="s">
        <v>115</v>
      </c>
      <c r="C44" s="202"/>
      <c r="D44" s="203">
        <v>200</v>
      </c>
      <c r="E44" s="204">
        <v>210</v>
      </c>
      <c r="F44" s="203">
        <v>150</v>
      </c>
      <c r="G44" s="203">
        <f>G173</f>
        <v>0</v>
      </c>
      <c r="H44" s="203">
        <f>H173</f>
        <v>360</v>
      </c>
      <c r="I44" s="205"/>
      <c r="J44" s="205"/>
      <c r="K44" s="205"/>
      <c r="L44" s="205"/>
      <c r="M44" s="205"/>
      <c r="N44" s="205"/>
      <c r="O44" s="177"/>
      <c r="P44" s="160"/>
      <c r="Q44" s="178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</row>
    <row r="45" spans="1:41" s="161" customFormat="1" ht="18" customHeight="1">
      <c r="A45" s="201" t="s">
        <v>252</v>
      </c>
      <c r="B45" s="163" t="s">
        <v>116</v>
      </c>
      <c r="C45" s="202"/>
      <c r="D45" s="203">
        <f>D174+D175+D177</f>
        <v>280</v>
      </c>
      <c r="E45" s="203">
        <f>E174+E175+E177</f>
        <v>0</v>
      </c>
      <c r="F45" s="203">
        <v>450</v>
      </c>
      <c r="G45" s="203">
        <f>G174+G175+G177</f>
        <v>0</v>
      </c>
      <c r="H45" s="203">
        <v>450</v>
      </c>
      <c r="I45" s="205"/>
      <c r="J45" s="205"/>
      <c r="K45" s="205"/>
      <c r="L45" s="205"/>
      <c r="M45" s="205"/>
      <c r="N45" s="205"/>
      <c r="O45" s="177"/>
      <c r="P45" s="160"/>
      <c r="Q45" s="178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</row>
    <row r="46" spans="1:41" s="170" customFormat="1" ht="18" customHeight="1">
      <c r="A46" s="206" t="s">
        <v>252</v>
      </c>
      <c r="B46" s="207" t="s">
        <v>118</v>
      </c>
      <c r="C46" s="208"/>
      <c r="D46" s="209">
        <f>225+510</f>
        <v>735</v>
      </c>
      <c r="E46" s="209">
        <v>1235</v>
      </c>
      <c r="F46" s="209">
        <v>290</v>
      </c>
      <c r="G46" s="209">
        <f>G172</f>
        <v>0</v>
      </c>
      <c r="H46" s="209">
        <f>H172</f>
        <v>1525</v>
      </c>
      <c r="I46" s="210"/>
      <c r="J46" s="210"/>
      <c r="K46" s="210"/>
      <c r="L46" s="210"/>
      <c r="M46" s="210"/>
      <c r="N46" s="210"/>
      <c r="O46" s="211"/>
      <c r="P46" s="168"/>
      <c r="Q46" s="169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</row>
    <row r="47" spans="1:41" s="161" customFormat="1" ht="18" customHeight="1">
      <c r="A47" s="212" t="s">
        <v>119</v>
      </c>
      <c r="B47" s="188" t="s">
        <v>120</v>
      </c>
      <c r="C47" s="188"/>
      <c r="D47" s="190">
        <v>9500</v>
      </c>
      <c r="E47" s="190">
        <f aca="true" t="shared" si="10" ref="E47:O47">E178</f>
        <v>0</v>
      </c>
      <c r="F47" s="190">
        <f t="shared" si="10"/>
        <v>0</v>
      </c>
      <c r="G47" s="190">
        <f t="shared" si="10"/>
        <v>0</v>
      </c>
      <c r="H47" s="190">
        <f t="shared" si="10"/>
        <v>0</v>
      </c>
      <c r="I47" s="190">
        <f t="shared" si="10"/>
        <v>0</v>
      </c>
      <c r="J47" s="190">
        <f t="shared" si="10"/>
        <v>0</v>
      </c>
      <c r="K47" s="190">
        <f t="shared" si="10"/>
        <v>0</v>
      </c>
      <c r="L47" s="190">
        <f t="shared" si="10"/>
        <v>0</v>
      </c>
      <c r="M47" s="190">
        <f t="shared" si="10"/>
        <v>0</v>
      </c>
      <c r="N47" s="190">
        <f t="shared" si="10"/>
        <v>0</v>
      </c>
      <c r="O47" s="190">
        <f t="shared" si="10"/>
        <v>0</v>
      </c>
      <c r="P47" s="160"/>
      <c r="Q47" s="178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</row>
    <row r="48" spans="1:41" s="218" customFormat="1" ht="18" customHeight="1">
      <c r="A48" s="213" t="s">
        <v>254</v>
      </c>
      <c r="B48" s="182" t="s">
        <v>303</v>
      </c>
      <c r="C48" s="214"/>
      <c r="D48" s="190">
        <f aca="true" t="shared" si="11" ref="D48:O48">D49+D169+D178</f>
        <v>109215.805554</v>
      </c>
      <c r="E48" s="190">
        <f t="shared" si="11"/>
        <v>2307.675459</v>
      </c>
      <c r="F48" s="190">
        <f t="shared" si="11"/>
        <v>94702</v>
      </c>
      <c r="G48" s="190">
        <f t="shared" si="11"/>
        <v>0</v>
      </c>
      <c r="H48" s="190">
        <f t="shared" si="11"/>
        <v>97009.675459</v>
      </c>
      <c r="I48" s="190">
        <f t="shared" si="11"/>
        <v>0</v>
      </c>
      <c r="J48" s="190">
        <f t="shared" si="11"/>
        <v>335.33333333333576</v>
      </c>
      <c r="K48" s="190">
        <f t="shared" si="11"/>
        <v>0</v>
      </c>
      <c r="L48" s="190">
        <f t="shared" si="11"/>
        <v>335.33333333333576</v>
      </c>
      <c r="M48" s="190">
        <f t="shared" si="11"/>
        <v>0</v>
      </c>
      <c r="N48" s="190">
        <f t="shared" si="11"/>
        <v>335.33333333333576</v>
      </c>
      <c r="O48" s="190">
        <f t="shared" si="11"/>
        <v>25520</v>
      </c>
      <c r="P48" s="215"/>
      <c r="Q48" s="216"/>
      <c r="R48" s="215"/>
      <c r="S48" s="215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</row>
    <row r="49" spans="1:41" s="161" customFormat="1" ht="18" customHeight="1">
      <c r="A49" s="187" t="s">
        <v>52</v>
      </c>
      <c r="B49" s="188" t="s">
        <v>121</v>
      </c>
      <c r="C49" s="188"/>
      <c r="D49" s="190">
        <f aca="true" t="shared" si="12" ref="D49:O49">D50+D166</f>
        <v>108635.305554</v>
      </c>
      <c r="E49" s="190">
        <f t="shared" si="12"/>
        <v>862.675459</v>
      </c>
      <c r="F49" s="190">
        <f t="shared" si="12"/>
        <v>93812</v>
      </c>
      <c r="G49" s="190">
        <f t="shared" si="12"/>
        <v>0</v>
      </c>
      <c r="H49" s="190">
        <f t="shared" si="12"/>
        <v>94674.675459</v>
      </c>
      <c r="I49" s="190">
        <f t="shared" si="12"/>
        <v>0</v>
      </c>
      <c r="J49" s="190">
        <f t="shared" si="12"/>
        <v>335.33333333333576</v>
      </c>
      <c r="K49" s="190">
        <f t="shared" si="12"/>
        <v>0</v>
      </c>
      <c r="L49" s="190">
        <f t="shared" si="12"/>
        <v>335.33333333333576</v>
      </c>
      <c r="M49" s="190">
        <f t="shared" si="12"/>
        <v>0</v>
      </c>
      <c r="N49" s="190">
        <f t="shared" si="12"/>
        <v>335.33333333333576</v>
      </c>
      <c r="O49" s="190">
        <f t="shared" si="12"/>
        <v>25220</v>
      </c>
      <c r="P49" s="160"/>
      <c r="Q49" s="178"/>
      <c r="R49" s="215"/>
      <c r="S49" s="215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</row>
    <row r="50" spans="1:41" s="161" customFormat="1" ht="18" customHeight="1">
      <c r="A50" s="219">
        <v>1</v>
      </c>
      <c r="B50" s="220" t="s">
        <v>122</v>
      </c>
      <c r="C50" s="221"/>
      <c r="D50" s="190">
        <f aca="true" t="shared" si="13" ref="D50:O50">D51+D156</f>
        <v>87635.305554</v>
      </c>
      <c r="E50" s="190">
        <f t="shared" si="13"/>
        <v>862.675459</v>
      </c>
      <c r="F50" s="190">
        <f t="shared" si="13"/>
        <v>85112</v>
      </c>
      <c r="G50" s="190">
        <f t="shared" si="13"/>
        <v>0</v>
      </c>
      <c r="H50" s="190">
        <f t="shared" si="13"/>
        <v>85974.675459</v>
      </c>
      <c r="I50" s="190">
        <f t="shared" si="13"/>
        <v>0</v>
      </c>
      <c r="J50" s="190">
        <f t="shared" si="13"/>
        <v>335.33333333333576</v>
      </c>
      <c r="K50" s="190">
        <f t="shared" si="13"/>
        <v>0</v>
      </c>
      <c r="L50" s="190">
        <f t="shared" si="13"/>
        <v>335.33333333333576</v>
      </c>
      <c r="M50" s="190">
        <f t="shared" si="13"/>
        <v>0</v>
      </c>
      <c r="N50" s="190">
        <f t="shared" si="13"/>
        <v>335.33333333333576</v>
      </c>
      <c r="O50" s="190">
        <f t="shared" si="13"/>
        <v>25220</v>
      </c>
      <c r="P50" s="160"/>
      <c r="Q50" s="178"/>
      <c r="R50" s="215"/>
      <c r="S50" s="215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</row>
    <row r="51" spans="1:41" s="161" customFormat="1" ht="18" customHeight="1">
      <c r="A51" s="222" t="s">
        <v>84</v>
      </c>
      <c r="B51" s="223" t="s">
        <v>123</v>
      </c>
      <c r="C51" s="224"/>
      <c r="D51" s="225">
        <f>D52+D60+D72</f>
        <v>83752.438685</v>
      </c>
      <c r="E51" s="225">
        <f aca="true" t="shared" si="14" ref="E51:N51">E52+E60+E72</f>
        <v>384</v>
      </c>
      <c r="F51" s="225">
        <f>F19</f>
        <v>82776</v>
      </c>
      <c r="G51" s="225">
        <f t="shared" si="14"/>
        <v>0</v>
      </c>
      <c r="H51" s="225">
        <f>H52+H60+H72+H155</f>
        <v>83160</v>
      </c>
      <c r="I51" s="225">
        <f t="shared" si="14"/>
        <v>0</v>
      </c>
      <c r="J51" s="225">
        <f t="shared" si="14"/>
        <v>335.33333333333576</v>
      </c>
      <c r="K51" s="225">
        <f t="shared" si="14"/>
        <v>0</v>
      </c>
      <c r="L51" s="225">
        <f t="shared" si="14"/>
        <v>335.33333333333576</v>
      </c>
      <c r="M51" s="225">
        <f t="shared" si="14"/>
        <v>0</v>
      </c>
      <c r="N51" s="225">
        <f t="shared" si="14"/>
        <v>335.33333333333576</v>
      </c>
      <c r="O51" s="225">
        <f>O12-O156-O170</f>
        <v>22720</v>
      </c>
      <c r="P51" s="195"/>
      <c r="Q51" s="178"/>
      <c r="R51" s="195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</row>
    <row r="52" spans="1:41" s="161" customFormat="1" ht="18" customHeight="1">
      <c r="A52" s="226" t="s">
        <v>85</v>
      </c>
      <c r="B52" s="227" t="s">
        <v>124</v>
      </c>
      <c r="C52" s="228"/>
      <c r="D52" s="229">
        <f>D53+D54+D55+D56+D57+D58+D59</f>
        <v>6270.256364000001</v>
      </c>
      <c r="E52" s="229">
        <f aca="true" t="shared" si="15" ref="E52:O52">E53+E54+E55+E56+E57+E58+E59</f>
        <v>0</v>
      </c>
      <c r="F52" s="138">
        <f t="shared" si="15"/>
        <v>6270</v>
      </c>
      <c r="G52" s="229">
        <f t="shared" si="15"/>
        <v>0</v>
      </c>
      <c r="H52" s="229">
        <f t="shared" si="15"/>
        <v>6270</v>
      </c>
      <c r="I52" s="229">
        <f t="shared" si="15"/>
        <v>0</v>
      </c>
      <c r="J52" s="229">
        <f t="shared" si="15"/>
        <v>0</v>
      </c>
      <c r="K52" s="229">
        <f t="shared" si="15"/>
        <v>0</v>
      </c>
      <c r="L52" s="229">
        <f t="shared" si="15"/>
        <v>0</v>
      </c>
      <c r="M52" s="229">
        <f t="shared" si="15"/>
        <v>0</v>
      </c>
      <c r="N52" s="229">
        <f t="shared" si="15"/>
        <v>0</v>
      </c>
      <c r="O52" s="229">
        <f t="shared" si="15"/>
        <v>3000</v>
      </c>
      <c r="P52" s="160"/>
      <c r="Q52" s="178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</row>
    <row r="53" spans="1:41" s="170" customFormat="1" ht="18" customHeight="1">
      <c r="A53" s="226" t="s">
        <v>125</v>
      </c>
      <c r="B53" s="230" t="s">
        <v>126</v>
      </c>
      <c r="C53" s="231"/>
      <c r="D53" s="232">
        <v>2701.131096</v>
      </c>
      <c r="E53" s="232"/>
      <c r="F53" s="232">
        <v>2000</v>
      </c>
      <c r="G53" s="232"/>
      <c r="H53" s="132">
        <f>E53+F53-G53</f>
        <v>2000</v>
      </c>
      <c r="I53" s="166"/>
      <c r="J53" s="166"/>
      <c r="K53" s="166"/>
      <c r="L53" s="166"/>
      <c r="M53" s="166"/>
      <c r="N53" s="166"/>
      <c r="O53" s="167">
        <v>1000</v>
      </c>
      <c r="P53" s="168"/>
      <c r="Q53" s="169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</row>
    <row r="54" spans="1:41" s="170" customFormat="1" ht="18" customHeight="1">
      <c r="A54" s="226" t="s">
        <v>125</v>
      </c>
      <c r="B54" s="230" t="s">
        <v>127</v>
      </c>
      <c r="C54" s="230"/>
      <c r="D54" s="132">
        <v>700.385203</v>
      </c>
      <c r="E54" s="132"/>
      <c r="F54" s="132">
        <v>730</v>
      </c>
      <c r="G54" s="132"/>
      <c r="H54" s="132">
        <f aca="true" t="shared" si="16" ref="H54:H59">E54+F54-G54</f>
        <v>730</v>
      </c>
      <c r="I54" s="166"/>
      <c r="J54" s="166"/>
      <c r="K54" s="166"/>
      <c r="L54" s="166"/>
      <c r="M54" s="166"/>
      <c r="N54" s="166"/>
      <c r="O54" s="233"/>
      <c r="P54" s="168"/>
      <c r="Q54" s="169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</row>
    <row r="55" spans="1:41" s="170" customFormat="1" ht="18" customHeight="1">
      <c r="A55" s="226" t="s">
        <v>125</v>
      </c>
      <c r="B55" s="230" t="s">
        <v>128</v>
      </c>
      <c r="C55" s="230"/>
      <c r="D55" s="232">
        <f>1949.2891-251</f>
        <v>1698.2891</v>
      </c>
      <c r="E55" s="232"/>
      <c r="F55" s="232">
        <v>1790</v>
      </c>
      <c r="G55" s="232"/>
      <c r="H55" s="132">
        <f t="shared" si="16"/>
        <v>1790</v>
      </c>
      <c r="I55" s="166"/>
      <c r="J55" s="166"/>
      <c r="K55" s="166"/>
      <c r="L55" s="166"/>
      <c r="M55" s="166"/>
      <c r="N55" s="166"/>
      <c r="O55" s="167">
        <v>200</v>
      </c>
      <c r="P55" s="168"/>
      <c r="Q55" s="169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</row>
    <row r="56" spans="1:41" s="170" customFormat="1" ht="18" customHeight="1">
      <c r="A56" s="226" t="s">
        <v>125</v>
      </c>
      <c r="B56" s="230" t="s">
        <v>129</v>
      </c>
      <c r="C56" s="230"/>
      <c r="D56" s="232">
        <f>1267.297515-407</f>
        <v>860.297515</v>
      </c>
      <c r="E56" s="232"/>
      <c r="F56" s="232">
        <v>900</v>
      </c>
      <c r="G56" s="232"/>
      <c r="H56" s="132">
        <f t="shared" si="16"/>
        <v>900</v>
      </c>
      <c r="I56" s="166"/>
      <c r="J56" s="166"/>
      <c r="K56" s="166"/>
      <c r="L56" s="166"/>
      <c r="M56" s="166"/>
      <c r="N56" s="166"/>
      <c r="O56" s="167"/>
      <c r="P56" s="168"/>
      <c r="Q56" s="169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</row>
    <row r="57" spans="1:41" s="170" customFormat="1" ht="18" customHeight="1">
      <c r="A57" s="226" t="s">
        <v>125</v>
      </c>
      <c r="B57" s="230" t="s">
        <v>130</v>
      </c>
      <c r="C57" s="230"/>
      <c r="D57" s="232">
        <v>88.6</v>
      </c>
      <c r="E57" s="232"/>
      <c r="F57" s="232">
        <v>240</v>
      </c>
      <c r="G57" s="232"/>
      <c r="H57" s="132">
        <f t="shared" si="16"/>
        <v>240</v>
      </c>
      <c r="I57" s="166"/>
      <c r="J57" s="166"/>
      <c r="K57" s="166"/>
      <c r="L57" s="166"/>
      <c r="M57" s="166"/>
      <c r="N57" s="166"/>
      <c r="O57" s="167"/>
      <c r="P57" s="168"/>
      <c r="Q57" s="169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</row>
    <row r="58" spans="1:41" s="170" customFormat="1" ht="18" customHeight="1">
      <c r="A58" s="226" t="s">
        <v>125</v>
      </c>
      <c r="B58" s="230" t="s">
        <v>131</v>
      </c>
      <c r="C58" s="230"/>
      <c r="D58" s="232"/>
      <c r="E58" s="232"/>
      <c r="F58" s="232"/>
      <c r="G58" s="232"/>
      <c r="H58" s="132">
        <f t="shared" si="16"/>
        <v>0</v>
      </c>
      <c r="I58" s="234"/>
      <c r="J58" s="234"/>
      <c r="K58" s="234"/>
      <c r="L58" s="234"/>
      <c r="M58" s="234"/>
      <c r="N58" s="234"/>
      <c r="O58" s="167">
        <v>200</v>
      </c>
      <c r="P58" s="168"/>
      <c r="Q58" s="169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</row>
    <row r="59" spans="1:41" s="170" customFormat="1" ht="18" customHeight="1">
      <c r="A59" s="226" t="s">
        <v>125</v>
      </c>
      <c r="B59" s="230" t="s">
        <v>304</v>
      </c>
      <c r="C59" s="230"/>
      <c r="D59" s="232">
        <f>53.28+814.15765-D95</f>
        <v>221.55345</v>
      </c>
      <c r="E59" s="232"/>
      <c r="F59" s="232">
        <f>6270-F53-F54-F55-F56-F57-F58</f>
        <v>610</v>
      </c>
      <c r="G59" s="232"/>
      <c r="H59" s="132">
        <f t="shared" si="16"/>
        <v>610</v>
      </c>
      <c r="I59" s="166"/>
      <c r="J59" s="166"/>
      <c r="K59" s="166"/>
      <c r="L59" s="166"/>
      <c r="M59" s="166"/>
      <c r="N59" s="166"/>
      <c r="O59" s="167">
        <f>3000-O53-O54-O55-O56-O57-O58</f>
        <v>1600</v>
      </c>
      <c r="P59" s="168"/>
      <c r="Q59" s="169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</row>
    <row r="60" spans="1:41" s="161" customFormat="1" ht="18" customHeight="1">
      <c r="A60" s="226" t="s">
        <v>87</v>
      </c>
      <c r="B60" s="227" t="s">
        <v>132</v>
      </c>
      <c r="C60" s="228"/>
      <c r="D60" s="235">
        <f>D61+D62+D63+D64+D65+D66+D67+D70+D71</f>
        <v>50789.27827200001</v>
      </c>
      <c r="E60" s="235">
        <f aca="true" t="shared" si="17" ref="E60:O60">E61+E62+E63+E64+E65+E66+E67++++E70+E71</f>
        <v>0</v>
      </c>
      <c r="F60" s="235">
        <f>F61+F62+F63+F64+F65+F66+F67+F70+F71</f>
        <v>52586</v>
      </c>
      <c r="G60" s="235">
        <f t="shared" si="17"/>
        <v>0</v>
      </c>
      <c r="H60" s="235">
        <f t="shared" si="17"/>
        <v>52586</v>
      </c>
      <c r="I60" s="235">
        <f t="shared" si="17"/>
        <v>0</v>
      </c>
      <c r="J60" s="235">
        <f t="shared" si="17"/>
        <v>0</v>
      </c>
      <c r="K60" s="235">
        <f t="shared" si="17"/>
        <v>0</v>
      </c>
      <c r="L60" s="235">
        <f t="shared" si="17"/>
        <v>0</v>
      </c>
      <c r="M60" s="235">
        <f t="shared" si="17"/>
        <v>0</v>
      </c>
      <c r="N60" s="235">
        <f t="shared" si="17"/>
        <v>0</v>
      </c>
      <c r="O60" s="235">
        <f t="shared" si="17"/>
        <v>8000</v>
      </c>
      <c r="P60" s="195"/>
      <c r="Q60" s="178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</row>
    <row r="61" spans="1:41" s="161" customFormat="1" ht="18" customHeight="1">
      <c r="A61" s="226" t="s">
        <v>125</v>
      </c>
      <c r="B61" s="230" t="s">
        <v>133</v>
      </c>
      <c r="C61" s="236"/>
      <c r="D61" s="132"/>
      <c r="E61" s="232"/>
      <c r="F61" s="232"/>
      <c r="G61" s="232"/>
      <c r="H61" s="232">
        <f aca="true" t="shared" si="18" ref="H61:H66">E61+F61-G61</f>
        <v>0</v>
      </c>
      <c r="I61" s="237"/>
      <c r="J61" s="237"/>
      <c r="K61" s="237"/>
      <c r="L61" s="237"/>
      <c r="M61" s="237"/>
      <c r="N61" s="237"/>
      <c r="O61" s="238">
        <v>8000</v>
      </c>
      <c r="P61" s="160"/>
      <c r="Q61" s="178"/>
      <c r="R61" s="195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</row>
    <row r="62" spans="1:41" s="170" customFormat="1" ht="18" customHeight="1">
      <c r="A62" s="226" t="s">
        <v>125</v>
      </c>
      <c r="B62" s="230" t="s">
        <v>134</v>
      </c>
      <c r="C62" s="239"/>
      <c r="D62" s="232">
        <f>24032.34228+38.755-D53</f>
        <v>21369.966184</v>
      </c>
      <c r="E62" s="132"/>
      <c r="F62" s="132">
        <v>22200</v>
      </c>
      <c r="G62" s="132"/>
      <c r="H62" s="232">
        <f t="shared" si="18"/>
        <v>22200</v>
      </c>
      <c r="I62" s="237"/>
      <c r="J62" s="237"/>
      <c r="K62" s="237"/>
      <c r="L62" s="237"/>
      <c r="M62" s="237"/>
      <c r="N62" s="237"/>
      <c r="O62" s="238"/>
      <c r="P62" s="168"/>
      <c r="Q62" s="169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</row>
    <row r="63" spans="1:41" s="170" customFormat="1" ht="18" customHeight="1">
      <c r="A63" s="226" t="s">
        <v>125</v>
      </c>
      <c r="B63" s="230" t="s">
        <v>135</v>
      </c>
      <c r="C63" s="239"/>
      <c r="D63" s="232">
        <f>770.7645</f>
        <v>770.7645</v>
      </c>
      <c r="E63" s="232"/>
      <c r="F63" s="232">
        <v>786</v>
      </c>
      <c r="G63" s="232"/>
      <c r="H63" s="232">
        <f t="shared" si="18"/>
        <v>786</v>
      </c>
      <c r="I63" s="237"/>
      <c r="J63" s="237"/>
      <c r="K63" s="237"/>
      <c r="L63" s="237"/>
      <c r="M63" s="237"/>
      <c r="N63" s="237"/>
      <c r="O63" s="238"/>
      <c r="P63" s="168"/>
      <c r="Q63" s="169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</row>
    <row r="64" spans="1:41" s="170" customFormat="1" ht="18" customHeight="1">
      <c r="A64" s="226" t="s">
        <v>125</v>
      </c>
      <c r="B64" s="230" t="s">
        <v>136</v>
      </c>
      <c r="C64" s="239"/>
      <c r="D64" s="232">
        <f>7989.8987-D55</f>
        <v>6291.6096</v>
      </c>
      <c r="E64" s="232"/>
      <c r="F64" s="232">
        <v>6500</v>
      </c>
      <c r="G64" s="232"/>
      <c r="H64" s="232">
        <f t="shared" si="18"/>
        <v>6500</v>
      </c>
      <c r="I64" s="237"/>
      <c r="J64" s="237"/>
      <c r="K64" s="237"/>
      <c r="L64" s="237"/>
      <c r="M64" s="237"/>
      <c r="N64" s="237"/>
      <c r="O64" s="238"/>
      <c r="P64" s="168"/>
      <c r="Q64" s="169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</row>
    <row r="65" spans="1:41" s="170" customFormat="1" ht="18" customHeight="1">
      <c r="A65" s="226" t="s">
        <v>125</v>
      </c>
      <c r="B65" s="230" t="s">
        <v>137</v>
      </c>
      <c r="C65" s="239"/>
      <c r="D65" s="232">
        <f>11331.771786-D54</f>
        <v>10631.386583</v>
      </c>
      <c r="E65" s="232"/>
      <c r="F65" s="232">
        <v>11000</v>
      </c>
      <c r="G65" s="232"/>
      <c r="H65" s="232">
        <f t="shared" si="18"/>
        <v>11000</v>
      </c>
      <c r="I65" s="237"/>
      <c r="J65" s="237"/>
      <c r="K65" s="237"/>
      <c r="L65" s="237"/>
      <c r="M65" s="237"/>
      <c r="N65" s="237"/>
      <c r="O65" s="238"/>
      <c r="P65" s="168"/>
      <c r="Q65" s="169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</row>
    <row r="66" spans="1:41" s="170" customFormat="1" ht="18" customHeight="1">
      <c r="A66" s="226" t="s">
        <v>125</v>
      </c>
      <c r="B66" s="230" t="s">
        <v>255</v>
      </c>
      <c r="C66" s="239"/>
      <c r="D66" s="232">
        <f>371.22</f>
        <v>371.22</v>
      </c>
      <c r="E66" s="232"/>
      <c r="F66" s="232">
        <v>400</v>
      </c>
      <c r="G66" s="232"/>
      <c r="H66" s="232">
        <f t="shared" si="18"/>
        <v>400</v>
      </c>
      <c r="I66" s="237"/>
      <c r="J66" s="237"/>
      <c r="K66" s="237"/>
      <c r="L66" s="237"/>
      <c r="M66" s="237"/>
      <c r="N66" s="237"/>
      <c r="O66" s="238"/>
      <c r="P66" s="168"/>
      <c r="Q66" s="169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</row>
    <row r="67" spans="1:41" s="170" customFormat="1" ht="18" customHeight="1">
      <c r="A67" s="226" t="s">
        <v>125</v>
      </c>
      <c r="B67" s="230" t="s">
        <v>138</v>
      </c>
      <c r="C67" s="239"/>
      <c r="D67" s="240">
        <f>SUM(D68:D69)</f>
        <v>7231.8440519999995</v>
      </c>
      <c r="E67" s="241">
        <f aca="true" t="shared" si="19" ref="E67:N67">SUM(E68:E69)</f>
        <v>0</v>
      </c>
      <c r="F67" s="241">
        <f t="shared" si="19"/>
        <v>7500</v>
      </c>
      <c r="G67" s="241">
        <f t="shared" si="19"/>
        <v>0</v>
      </c>
      <c r="H67" s="241">
        <f t="shared" si="19"/>
        <v>7500</v>
      </c>
      <c r="I67" s="241">
        <f t="shared" si="19"/>
        <v>0</v>
      </c>
      <c r="J67" s="241">
        <f t="shared" si="19"/>
        <v>0</v>
      </c>
      <c r="K67" s="241">
        <f t="shared" si="19"/>
        <v>0</v>
      </c>
      <c r="L67" s="241">
        <f t="shared" si="19"/>
        <v>0</v>
      </c>
      <c r="M67" s="241">
        <f t="shared" si="19"/>
        <v>0</v>
      </c>
      <c r="N67" s="241">
        <f t="shared" si="19"/>
        <v>0</v>
      </c>
      <c r="O67" s="241"/>
      <c r="P67" s="168"/>
      <c r="Q67" s="169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</row>
    <row r="68" spans="1:41" s="251" customFormat="1" ht="18" customHeight="1">
      <c r="A68" s="242"/>
      <c r="B68" s="243" t="s">
        <v>139</v>
      </c>
      <c r="C68" s="244"/>
      <c r="D68" s="245">
        <f>6643.75603</f>
        <v>6643.75603</v>
      </c>
      <c r="E68" s="245"/>
      <c r="F68" s="245">
        <v>6900</v>
      </c>
      <c r="G68" s="245"/>
      <c r="H68" s="246">
        <f>E68+F68-G68</f>
        <v>6900</v>
      </c>
      <c r="I68" s="247"/>
      <c r="J68" s="247"/>
      <c r="K68" s="247"/>
      <c r="L68" s="247"/>
      <c r="M68" s="247"/>
      <c r="N68" s="247"/>
      <c r="O68" s="248"/>
      <c r="P68" s="249"/>
      <c r="Q68" s="250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</row>
    <row r="69" spans="1:41" s="251" customFormat="1" ht="18" customHeight="1">
      <c r="A69" s="242"/>
      <c r="B69" s="243" t="s">
        <v>140</v>
      </c>
      <c r="C69" s="244"/>
      <c r="D69" s="245">
        <f>588.088022</f>
        <v>588.088022</v>
      </c>
      <c r="E69" s="245"/>
      <c r="F69" s="245">
        <v>600</v>
      </c>
      <c r="G69" s="245"/>
      <c r="H69" s="246">
        <f>E69+F69-G69</f>
        <v>600</v>
      </c>
      <c r="I69" s="247"/>
      <c r="J69" s="247"/>
      <c r="K69" s="247"/>
      <c r="L69" s="247"/>
      <c r="M69" s="247"/>
      <c r="N69" s="247"/>
      <c r="O69" s="248"/>
      <c r="P69" s="249"/>
      <c r="Q69" s="250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</row>
    <row r="70" spans="1:41" s="170" customFormat="1" ht="18" customHeight="1">
      <c r="A70" s="226" t="s">
        <v>125</v>
      </c>
      <c r="B70" s="230" t="s">
        <v>141</v>
      </c>
      <c r="C70" s="239"/>
      <c r="D70" s="132">
        <f>275.825724</f>
        <v>275.825724</v>
      </c>
      <c r="E70" s="132"/>
      <c r="F70" s="132">
        <v>200</v>
      </c>
      <c r="G70" s="132"/>
      <c r="H70" s="132">
        <f>E70+F70-G70</f>
        <v>200</v>
      </c>
      <c r="I70" s="237"/>
      <c r="J70" s="237"/>
      <c r="K70" s="237"/>
      <c r="L70" s="237"/>
      <c r="M70" s="237"/>
      <c r="N70" s="237"/>
      <c r="O70" s="238"/>
      <c r="P70" s="168"/>
      <c r="Q70" s="169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</row>
    <row r="71" spans="1:41" s="161" customFormat="1" ht="18" customHeight="1">
      <c r="A71" s="226" t="s">
        <v>125</v>
      </c>
      <c r="B71" s="230" t="s">
        <v>305</v>
      </c>
      <c r="C71" s="236"/>
      <c r="D71" s="132">
        <f>1589.531441+1510.130188+747</f>
        <v>3846.661629</v>
      </c>
      <c r="E71" s="132"/>
      <c r="F71" s="132">
        <v>4000</v>
      </c>
      <c r="G71" s="132"/>
      <c r="H71" s="132">
        <f>E71+F71-G71</f>
        <v>4000</v>
      </c>
      <c r="I71" s="166"/>
      <c r="J71" s="166"/>
      <c r="K71" s="166"/>
      <c r="L71" s="166"/>
      <c r="M71" s="166"/>
      <c r="N71" s="166"/>
      <c r="O71" s="238"/>
      <c r="P71" s="160"/>
      <c r="Q71" s="178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</row>
    <row r="72" spans="1:41" s="161" customFormat="1" ht="18" customHeight="1">
      <c r="A72" s="226" t="s">
        <v>142</v>
      </c>
      <c r="B72" s="227" t="s">
        <v>143</v>
      </c>
      <c r="C72" s="228"/>
      <c r="D72" s="252">
        <f>D73+D75+D76+D80+D84+D87+D91+D92+D93+D97+D98+D99+D131+D132+D137+D155</f>
        <v>26692.904048999997</v>
      </c>
      <c r="E72" s="252">
        <f>E73+E75+E76+E80+E84+E87+E91+E92+E93+E97+E98+E99+E131+E132+E137+E155</f>
        <v>384</v>
      </c>
      <c r="F72" s="252">
        <f>F73+F75+F76+F80+F84+F87+F91+F92+F93+F97+F98+F99+F131+F132+F137+F74</f>
        <v>23584.666666666664</v>
      </c>
      <c r="G72" s="252">
        <f>G73+G75+G76+G80+G84+G87+G91+G92+G93+G97+G98+G99+G131+G132+G137+G155+G74</f>
        <v>0</v>
      </c>
      <c r="H72" s="252">
        <f>H73+H75+H76+H80+H84+H87+H91+H92+H93+H97+H98+H99+H131+H132+H137+H74</f>
        <v>23968.666666666664</v>
      </c>
      <c r="I72" s="252">
        <f aca="true" t="shared" si="20" ref="I72:N72">I73+I75+I76+I80+I84+I87+I91+I92+I93+I97+I98+I99+I131+I132+I137+I155+I74</f>
        <v>0</v>
      </c>
      <c r="J72" s="252">
        <f t="shared" si="20"/>
        <v>335.33333333333576</v>
      </c>
      <c r="K72" s="252">
        <f t="shared" si="20"/>
        <v>0</v>
      </c>
      <c r="L72" s="252">
        <f t="shared" si="20"/>
        <v>335.33333333333576</v>
      </c>
      <c r="M72" s="252">
        <f t="shared" si="20"/>
        <v>0</v>
      </c>
      <c r="N72" s="252">
        <f t="shared" si="20"/>
        <v>335.33333333333576</v>
      </c>
      <c r="O72" s="252">
        <f>O73+O75+O76+O80+O84+O87+O91+O92+O93+O97+O98+O99+O131+O132+O137+O74</f>
        <v>8412</v>
      </c>
      <c r="P72" s="160"/>
      <c r="Q72" s="178"/>
      <c r="R72" s="195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</row>
    <row r="73" spans="1:41" s="257" customFormat="1" ht="18" customHeight="1">
      <c r="A73" s="242" t="s">
        <v>125</v>
      </c>
      <c r="B73" s="253" t="s">
        <v>144</v>
      </c>
      <c r="C73" s="254"/>
      <c r="D73" s="138">
        <v>6172.591652</v>
      </c>
      <c r="E73" s="138"/>
      <c r="F73" s="138">
        <v>4200</v>
      </c>
      <c r="G73" s="138"/>
      <c r="H73" s="138">
        <f>E73+F73-G73</f>
        <v>4200</v>
      </c>
      <c r="I73" s="176"/>
      <c r="J73" s="176"/>
      <c r="K73" s="176"/>
      <c r="L73" s="176"/>
      <c r="M73" s="176"/>
      <c r="N73" s="176"/>
      <c r="O73" s="177">
        <v>2200</v>
      </c>
      <c r="P73" s="255"/>
      <c r="Q73" s="256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</row>
    <row r="74" spans="1:41" s="257" customFormat="1" ht="18" customHeight="1">
      <c r="A74" s="242" t="s">
        <v>125</v>
      </c>
      <c r="B74" s="253" t="s">
        <v>145</v>
      </c>
      <c r="C74" s="253" t="s">
        <v>145</v>
      </c>
      <c r="D74" s="138">
        <v>356.291</v>
      </c>
      <c r="E74" s="138"/>
      <c r="F74" s="138">
        <v>387</v>
      </c>
      <c r="G74" s="138"/>
      <c r="H74" s="138">
        <f>E74+F74-G74</f>
        <v>387</v>
      </c>
      <c r="I74" s="176"/>
      <c r="J74" s="176"/>
      <c r="K74" s="176"/>
      <c r="L74" s="176"/>
      <c r="M74" s="176"/>
      <c r="N74" s="176"/>
      <c r="O74" s="177"/>
      <c r="P74" s="255"/>
      <c r="Q74" s="256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</row>
    <row r="75" spans="1:41" s="257" customFormat="1" ht="18" customHeight="1">
      <c r="A75" s="242" t="s">
        <v>125</v>
      </c>
      <c r="B75" s="253" t="s">
        <v>146</v>
      </c>
      <c r="C75" s="254"/>
      <c r="D75" s="138">
        <v>1196</v>
      </c>
      <c r="E75" s="138"/>
      <c r="F75" s="138"/>
      <c r="G75" s="138"/>
      <c r="H75" s="138">
        <f>E75+F75-G75</f>
        <v>0</v>
      </c>
      <c r="I75" s="176"/>
      <c r="J75" s="176"/>
      <c r="K75" s="176"/>
      <c r="L75" s="176"/>
      <c r="M75" s="176"/>
      <c r="N75" s="176"/>
      <c r="O75" s="177">
        <v>1200</v>
      </c>
      <c r="P75" s="255"/>
      <c r="Q75" s="256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</row>
    <row r="76" spans="1:41" s="257" customFormat="1" ht="18" customHeight="1">
      <c r="A76" s="242" t="s">
        <v>125</v>
      </c>
      <c r="B76" s="253" t="s">
        <v>256</v>
      </c>
      <c r="C76" s="254"/>
      <c r="D76" s="138">
        <f aca="true" t="shared" si="21" ref="D76:O76">SUM(D77:D79)</f>
        <v>1294.4489250000001</v>
      </c>
      <c r="E76" s="138">
        <f t="shared" si="21"/>
        <v>0</v>
      </c>
      <c r="F76" s="138">
        <f t="shared" si="21"/>
        <v>1961</v>
      </c>
      <c r="G76" s="138">
        <f t="shared" si="21"/>
        <v>0</v>
      </c>
      <c r="H76" s="138">
        <f t="shared" si="21"/>
        <v>1961</v>
      </c>
      <c r="I76" s="138">
        <f t="shared" si="21"/>
        <v>0</v>
      </c>
      <c r="J76" s="138">
        <f t="shared" si="21"/>
        <v>0</v>
      </c>
      <c r="K76" s="138">
        <f t="shared" si="21"/>
        <v>0</v>
      </c>
      <c r="L76" s="138">
        <f t="shared" si="21"/>
        <v>0</v>
      </c>
      <c r="M76" s="138">
        <f t="shared" si="21"/>
        <v>0</v>
      </c>
      <c r="N76" s="138">
        <f t="shared" si="21"/>
        <v>0</v>
      </c>
      <c r="O76" s="138">
        <f t="shared" si="21"/>
        <v>0</v>
      </c>
      <c r="P76" s="255"/>
      <c r="Q76" s="256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</row>
    <row r="77" spans="1:41" s="170" customFormat="1" ht="18" customHeight="1">
      <c r="A77" s="226"/>
      <c r="B77" s="230" t="s">
        <v>147</v>
      </c>
      <c r="C77" s="239"/>
      <c r="D77" s="132">
        <f>88.6+859.65+198.12+38.558925-D57</f>
        <v>1096.328925</v>
      </c>
      <c r="E77" s="132"/>
      <c r="F77" s="132">
        <v>1470</v>
      </c>
      <c r="G77" s="132"/>
      <c r="H77" s="132">
        <f>E77+F77-G77</f>
        <v>1470</v>
      </c>
      <c r="I77" s="166"/>
      <c r="J77" s="166"/>
      <c r="K77" s="166"/>
      <c r="L77" s="166"/>
      <c r="M77" s="166"/>
      <c r="N77" s="166"/>
      <c r="O77" s="167"/>
      <c r="P77" s="168"/>
      <c r="Q77" s="169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</row>
    <row r="78" spans="1:41" s="170" customFormat="1" ht="18" customHeight="1">
      <c r="A78" s="226"/>
      <c r="B78" s="230" t="s">
        <v>306</v>
      </c>
      <c r="C78" s="239"/>
      <c r="D78" s="132"/>
      <c r="E78" s="132"/>
      <c r="F78" s="132">
        <v>311</v>
      </c>
      <c r="G78" s="132"/>
      <c r="H78" s="132">
        <f>E78+F78-G78</f>
        <v>311</v>
      </c>
      <c r="I78" s="166"/>
      <c r="J78" s="166"/>
      <c r="K78" s="166"/>
      <c r="L78" s="166"/>
      <c r="M78" s="166"/>
      <c r="N78" s="166"/>
      <c r="O78" s="167"/>
      <c r="P78" s="168"/>
      <c r="Q78" s="169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</row>
    <row r="79" spans="1:41" s="170" customFormat="1" ht="18" customHeight="1">
      <c r="A79" s="226"/>
      <c r="B79" s="230" t="s">
        <v>148</v>
      </c>
      <c r="C79" s="239"/>
      <c r="D79" s="132">
        <f>119.76+78.36</f>
        <v>198.12</v>
      </c>
      <c r="E79" s="132"/>
      <c r="F79" s="132">
        <v>180</v>
      </c>
      <c r="G79" s="132"/>
      <c r="H79" s="132">
        <f>E79+F79-G79</f>
        <v>180</v>
      </c>
      <c r="I79" s="166"/>
      <c r="J79" s="166"/>
      <c r="K79" s="166"/>
      <c r="L79" s="166"/>
      <c r="M79" s="166"/>
      <c r="N79" s="166"/>
      <c r="O79" s="167"/>
      <c r="P79" s="168"/>
      <c r="Q79" s="169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</row>
    <row r="80" spans="1:41" s="257" customFormat="1" ht="18" customHeight="1">
      <c r="A80" s="242" t="s">
        <v>125</v>
      </c>
      <c r="B80" s="253" t="s">
        <v>149</v>
      </c>
      <c r="C80" s="254"/>
      <c r="D80" s="258">
        <f>SUM(D81:D83)</f>
        <v>1917.130641</v>
      </c>
      <c r="E80" s="258">
        <f aca="true" t="shared" si="22" ref="E80:O80">SUM(E81:E83)</f>
        <v>0</v>
      </c>
      <c r="F80" s="258">
        <f t="shared" si="22"/>
        <v>1656.6666666666665</v>
      </c>
      <c r="G80" s="258">
        <f t="shared" si="22"/>
        <v>0</v>
      </c>
      <c r="H80" s="258">
        <f t="shared" si="22"/>
        <v>1656.6666666666665</v>
      </c>
      <c r="I80" s="258">
        <f t="shared" si="22"/>
        <v>0</v>
      </c>
      <c r="J80" s="258">
        <f t="shared" si="22"/>
        <v>0</v>
      </c>
      <c r="K80" s="258">
        <f t="shared" si="22"/>
        <v>0</v>
      </c>
      <c r="L80" s="258">
        <f t="shared" si="22"/>
        <v>0</v>
      </c>
      <c r="M80" s="258">
        <f t="shared" si="22"/>
        <v>0</v>
      </c>
      <c r="N80" s="258">
        <f t="shared" si="22"/>
        <v>0</v>
      </c>
      <c r="O80" s="258">
        <f t="shared" si="22"/>
        <v>0</v>
      </c>
      <c r="P80" s="255"/>
      <c r="Q80" s="256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</row>
    <row r="81" spans="1:41" s="170" customFormat="1" ht="18" customHeight="1">
      <c r="A81" s="259"/>
      <c r="B81" s="230" t="s">
        <v>150</v>
      </c>
      <c r="C81" s="239"/>
      <c r="D81" s="132">
        <f>1647.827191+35.84295</f>
        <v>1683.670141</v>
      </c>
      <c r="E81" s="132"/>
      <c r="F81" s="132">
        <f>1700/12*10</f>
        <v>1416.6666666666665</v>
      </c>
      <c r="G81" s="132"/>
      <c r="H81" s="132">
        <f>E81+F81-G81</f>
        <v>1416.6666666666665</v>
      </c>
      <c r="I81" s="166"/>
      <c r="J81" s="166"/>
      <c r="K81" s="166"/>
      <c r="L81" s="166"/>
      <c r="M81" s="166"/>
      <c r="N81" s="166"/>
      <c r="O81" s="167"/>
      <c r="P81" s="168"/>
      <c r="Q81" s="169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</row>
    <row r="82" spans="1:41" s="170" customFormat="1" ht="18" customHeight="1">
      <c r="A82" s="259"/>
      <c r="B82" s="230" t="s">
        <v>151</v>
      </c>
      <c r="C82" s="239"/>
      <c r="D82" s="132"/>
      <c r="E82" s="132"/>
      <c r="F82" s="132"/>
      <c r="G82" s="132"/>
      <c r="H82" s="132">
        <f>E82+F82-G82</f>
        <v>0</v>
      </c>
      <c r="I82" s="166"/>
      <c r="J82" s="166"/>
      <c r="K82" s="166"/>
      <c r="L82" s="166"/>
      <c r="M82" s="166"/>
      <c r="N82" s="166"/>
      <c r="O82" s="167"/>
      <c r="P82" s="168"/>
      <c r="Q82" s="169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</row>
    <row r="83" spans="1:41" s="170" customFormat="1" ht="18" customHeight="1">
      <c r="A83" s="259"/>
      <c r="B83" s="230" t="s">
        <v>152</v>
      </c>
      <c r="C83" s="239"/>
      <c r="D83" s="132">
        <v>233.4605</v>
      </c>
      <c r="E83" s="132"/>
      <c r="F83" s="132">
        <v>240</v>
      </c>
      <c r="G83" s="132"/>
      <c r="H83" s="132">
        <f>E83+F83-G83</f>
        <v>240</v>
      </c>
      <c r="I83" s="166"/>
      <c r="J83" s="166"/>
      <c r="K83" s="166"/>
      <c r="L83" s="166"/>
      <c r="M83" s="166"/>
      <c r="N83" s="166"/>
      <c r="O83" s="167"/>
      <c r="P83" s="168"/>
      <c r="Q83" s="169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</row>
    <row r="84" spans="1:41" s="257" customFormat="1" ht="18" customHeight="1">
      <c r="A84" s="242" t="s">
        <v>125</v>
      </c>
      <c r="B84" s="260" t="s">
        <v>153</v>
      </c>
      <c r="C84" s="261"/>
      <c r="D84" s="138">
        <f>SUM(D85:D86)</f>
        <v>1227.2068629999999</v>
      </c>
      <c r="E84" s="138">
        <f aca="true" t="shared" si="23" ref="E84:O84">SUM(E85:E86)</f>
        <v>0</v>
      </c>
      <c r="F84" s="138">
        <f t="shared" si="23"/>
        <v>850</v>
      </c>
      <c r="G84" s="138">
        <f t="shared" si="23"/>
        <v>0</v>
      </c>
      <c r="H84" s="138">
        <f t="shared" si="23"/>
        <v>850</v>
      </c>
      <c r="I84" s="138">
        <f t="shared" si="23"/>
        <v>0</v>
      </c>
      <c r="J84" s="138">
        <f t="shared" si="23"/>
        <v>0</v>
      </c>
      <c r="K84" s="138">
        <f t="shared" si="23"/>
        <v>0</v>
      </c>
      <c r="L84" s="138">
        <f t="shared" si="23"/>
        <v>0</v>
      </c>
      <c r="M84" s="138">
        <f t="shared" si="23"/>
        <v>0</v>
      </c>
      <c r="N84" s="138">
        <f t="shared" si="23"/>
        <v>0</v>
      </c>
      <c r="O84" s="138">
        <f t="shared" si="23"/>
        <v>400</v>
      </c>
      <c r="P84" s="255"/>
      <c r="Q84" s="256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</row>
    <row r="85" spans="1:41" s="170" customFormat="1" ht="18" customHeight="1">
      <c r="A85" s="226"/>
      <c r="B85" s="231" t="s">
        <v>154</v>
      </c>
      <c r="C85" s="236"/>
      <c r="D85" s="132">
        <v>551.316</v>
      </c>
      <c r="E85" s="132"/>
      <c r="F85" s="132">
        <v>550</v>
      </c>
      <c r="G85" s="132"/>
      <c r="H85" s="132">
        <f>E85+F85-G85</f>
        <v>550</v>
      </c>
      <c r="I85" s="166"/>
      <c r="J85" s="166"/>
      <c r="K85" s="166"/>
      <c r="L85" s="166"/>
      <c r="M85" s="166"/>
      <c r="N85" s="166"/>
      <c r="O85" s="167"/>
      <c r="P85" s="168"/>
      <c r="Q85" s="169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</row>
    <row r="86" spans="1:41" s="170" customFormat="1" ht="18" customHeight="1">
      <c r="A86" s="226"/>
      <c r="B86" s="231" t="s">
        <v>155</v>
      </c>
      <c r="C86" s="236"/>
      <c r="D86" s="132">
        <f>675.890863</f>
        <v>675.890863</v>
      </c>
      <c r="E86" s="132"/>
      <c r="F86" s="132">
        <v>300</v>
      </c>
      <c r="G86" s="132"/>
      <c r="H86" s="132">
        <f>E86+F86-G86</f>
        <v>300</v>
      </c>
      <c r="I86" s="166"/>
      <c r="J86" s="166"/>
      <c r="K86" s="166"/>
      <c r="L86" s="166"/>
      <c r="M86" s="166"/>
      <c r="N86" s="166"/>
      <c r="O86" s="167">
        <v>400</v>
      </c>
      <c r="P86" s="168"/>
      <c r="Q86" s="169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</row>
    <row r="87" spans="1:41" s="257" customFormat="1" ht="18" customHeight="1">
      <c r="A87" s="242" t="s">
        <v>125</v>
      </c>
      <c r="B87" s="260" t="s">
        <v>156</v>
      </c>
      <c r="C87" s="261"/>
      <c r="D87" s="138">
        <f>SUM(D88:D90)</f>
        <v>313.936216</v>
      </c>
      <c r="E87" s="138">
        <f aca="true" t="shared" si="24" ref="E87:O87">SUM(E88:E90)</f>
        <v>0</v>
      </c>
      <c r="F87" s="138">
        <f t="shared" si="24"/>
        <v>255</v>
      </c>
      <c r="G87" s="138">
        <f t="shared" si="24"/>
        <v>0</v>
      </c>
      <c r="H87" s="138">
        <f t="shared" si="24"/>
        <v>255</v>
      </c>
      <c r="I87" s="138">
        <f t="shared" si="24"/>
        <v>0</v>
      </c>
      <c r="J87" s="138">
        <f t="shared" si="24"/>
        <v>0</v>
      </c>
      <c r="K87" s="138">
        <f t="shared" si="24"/>
        <v>0</v>
      </c>
      <c r="L87" s="138">
        <f t="shared" si="24"/>
        <v>0</v>
      </c>
      <c r="M87" s="138">
        <f t="shared" si="24"/>
        <v>0</v>
      </c>
      <c r="N87" s="138">
        <f t="shared" si="24"/>
        <v>0</v>
      </c>
      <c r="O87" s="138">
        <f t="shared" si="24"/>
        <v>0</v>
      </c>
      <c r="P87" s="255"/>
      <c r="Q87" s="256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</row>
    <row r="88" spans="1:41" s="170" customFormat="1" ht="18" customHeight="1">
      <c r="A88" s="262"/>
      <c r="B88" s="231" t="s">
        <v>307</v>
      </c>
      <c r="C88" s="236"/>
      <c r="D88" s="132">
        <f>152.180036+5+52.8+6.80418</f>
        <v>216.784216</v>
      </c>
      <c r="E88" s="132"/>
      <c r="F88" s="132">
        <v>220</v>
      </c>
      <c r="G88" s="132"/>
      <c r="H88" s="132">
        <f>E88+F88-G88</f>
        <v>220</v>
      </c>
      <c r="I88" s="166"/>
      <c r="J88" s="166"/>
      <c r="K88" s="166"/>
      <c r="L88" s="166"/>
      <c r="M88" s="166"/>
      <c r="N88" s="166"/>
      <c r="O88" s="167"/>
      <c r="P88" s="168"/>
      <c r="Q88" s="169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</row>
    <row r="89" spans="1:41" s="170" customFormat="1" ht="18" customHeight="1">
      <c r="A89" s="262"/>
      <c r="B89" s="231" t="s">
        <v>157</v>
      </c>
      <c r="C89" s="236"/>
      <c r="D89" s="144">
        <v>86.2125</v>
      </c>
      <c r="E89" s="132"/>
      <c r="F89" s="132">
        <v>20</v>
      </c>
      <c r="G89" s="132"/>
      <c r="H89" s="132">
        <f>E89+F89-G89</f>
        <v>20</v>
      </c>
      <c r="I89" s="166"/>
      <c r="J89" s="166"/>
      <c r="K89" s="166"/>
      <c r="L89" s="166"/>
      <c r="M89" s="166"/>
      <c r="N89" s="166"/>
      <c r="O89" s="167"/>
      <c r="P89" s="168"/>
      <c r="Q89" s="169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</row>
    <row r="90" spans="1:41" s="170" customFormat="1" ht="18" customHeight="1">
      <c r="A90" s="262"/>
      <c r="B90" s="231" t="s">
        <v>308</v>
      </c>
      <c r="C90" s="236"/>
      <c r="D90" s="132">
        <v>10.9395</v>
      </c>
      <c r="E90" s="132"/>
      <c r="F90" s="132">
        <v>15</v>
      </c>
      <c r="G90" s="132"/>
      <c r="H90" s="132">
        <f>E90+F90-G90</f>
        <v>15</v>
      </c>
      <c r="I90" s="166"/>
      <c r="J90" s="166"/>
      <c r="K90" s="166"/>
      <c r="L90" s="166"/>
      <c r="M90" s="166"/>
      <c r="N90" s="166"/>
      <c r="O90" s="167"/>
      <c r="P90" s="168"/>
      <c r="Q90" s="169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</row>
    <row r="91" spans="1:41" s="257" customFormat="1" ht="18" customHeight="1">
      <c r="A91" s="242" t="s">
        <v>125</v>
      </c>
      <c r="B91" s="263" t="s">
        <v>158</v>
      </c>
      <c r="C91" s="264"/>
      <c r="D91" s="126">
        <f>14.7+40+46.04+48</f>
        <v>148.74</v>
      </c>
      <c r="E91" s="138"/>
      <c r="F91" s="138">
        <v>150</v>
      </c>
      <c r="G91" s="138"/>
      <c r="H91" s="138">
        <f>E91+F91-G91</f>
        <v>150</v>
      </c>
      <c r="I91" s="176"/>
      <c r="J91" s="176"/>
      <c r="K91" s="176"/>
      <c r="L91" s="176"/>
      <c r="M91" s="176"/>
      <c r="N91" s="176"/>
      <c r="O91" s="177">
        <v>150</v>
      </c>
      <c r="P91" s="255"/>
      <c r="Q91" s="256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</row>
    <row r="92" spans="1:41" s="257" customFormat="1" ht="18" customHeight="1">
      <c r="A92" s="242" t="s">
        <v>125</v>
      </c>
      <c r="B92" s="263" t="s">
        <v>159</v>
      </c>
      <c r="C92" s="264"/>
      <c r="D92" s="138">
        <f>39.365+1.6+1.8</f>
        <v>42.765</v>
      </c>
      <c r="E92" s="138"/>
      <c r="F92" s="138">
        <v>50</v>
      </c>
      <c r="G92" s="138"/>
      <c r="H92" s="138">
        <f>E92+F92-G92</f>
        <v>50</v>
      </c>
      <c r="I92" s="176"/>
      <c r="J92" s="176"/>
      <c r="K92" s="176"/>
      <c r="L92" s="176"/>
      <c r="M92" s="176"/>
      <c r="N92" s="176"/>
      <c r="O92" s="177"/>
      <c r="P92" s="255"/>
      <c r="Q92" s="256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</row>
    <row r="93" spans="1:41" s="257" customFormat="1" ht="18" customHeight="1">
      <c r="A93" s="242" t="s">
        <v>125</v>
      </c>
      <c r="B93" s="263" t="s">
        <v>160</v>
      </c>
      <c r="C93" s="264"/>
      <c r="D93" s="138">
        <f>SUM(D94:D96)</f>
        <v>3367.566645</v>
      </c>
      <c r="E93" s="138">
        <f aca="true" t="shared" si="25" ref="E93:N93">SUM(E94:E96)</f>
        <v>0</v>
      </c>
      <c r="F93" s="138">
        <f t="shared" si="25"/>
        <v>2180</v>
      </c>
      <c r="G93" s="138">
        <f t="shared" si="25"/>
        <v>0</v>
      </c>
      <c r="H93" s="138">
        <f t="shared" si="25"/>
        <v>2180</v>
      </c>
      <c r="I93" s="138">
        <f t="shared" si="25"/>
        <v>0</v>
      </c>
      <c r="J93" s="138">
        <f t="shared" si="25"/>
        <v>0</v>
      </c>
      <c r="K93" s="138">
        <f t="shared" si="25"/>
        <v>0</v>
      </c>
      <c r="L93" s="138">
        <f t="shared" si="25"/>
        <v>0</v>
      </c>
      <c r="M93" s="138">
        <f t="shared" si="25"/>
        <v>0</v>
      </c>
      <c r="N93" s="138">
        <f t="shared" si="25"/>
        <v>0</v>
      </c>
      <c r="O93" s="138">
        <f>SUM(O94:O96)</f>
        <v>600</v>
      </c>
      <c r="P93" s="255"/>
      <c r="Q93" s="256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</row>
    <row r="94" spans="1:41" s="170" customFormat="1" ht="18" customHeight="1">
      <c r="A94" s="262"/>
      <c r="B94" s="163" t="s">
        <v>257</v>
      </c>
      <c r="C94" s="239"/>
      <c r="D94" s="132">
        <v>299</v>
      </c>
      <c r="E94" s="132"/>
      <c r="F94" s="132">
        <v>400</v>
      </c>
      <c r="G94" s="132"/>
      <c r="H94" s="132">
        <f>E94+F94-G94</f>
        <v>400</v>
      </c>
      <c r="I94" s="166"/>
      <c r="J94" s="166"/>
      <c r="K94" s="166"/>
      <c r="L94" s="166"/>
      <c r="M94" s="166"/>
      <c r="N94" s="166"/>
      <c r="O94" s="167"/>
      <c r="P94" s="168"/>
      <c r="Q94" s="169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</row>
    <row r="95" spans="1:41" s="170" customFormat="1" ht="18" customHeight="1">
      <c r="A95" s="262"/>
      <c r="B95" s="163" t="s">
        <v>258</v>
      </c>
      <c r="C95" s="202"/>
      <c r="D95" s="132">
        <v>645.8842</v>
      </c>
      <c r="E95" s="132"/>
      <c r="F95" s="132">
        <v>650</v>
      </c>
      <c r="G95" s="132"/>
      <c r="H95" s="132">
        <f>E95+F95-G95</f>
        <v>650</v>
      </c>
      <c r="I95" s="166"/>
      <c r="J95" s="166"/>
      <c r="K95" s="166"/>
      <c r="L95" s="166"/>
      <c r="M95" s="166"/>
      <c r="N95" s="166"/>
      <c r="O95" s="167"/>
      <c r="P95" s="168"/>
      <c r="Q95" s="169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</row>
    <row r="96" spans="1:41" s="170" customFormat="1" ht="18" customHeight="1">
      <c r="A96" s="262"/>
      <c r="B96" s="163" t="s">
        <v>309</v>
      </c>
      <c r="C96" s="202"/>
      <c r="D96" s="132">
        <f>20+2402.682445</f>
        <v>2422.682445</v>
      </c>
      <c r="E96" s="132"/>
      <c r="F96" s="132">
        <f>1450-160-160</f>
        <v>1130</v>
      </c>
      <c r="G96" s="132"/>
      <c r="H96" s="132">
        <f>E96+F96-G96</f>
        <v>1130</v>
      </c>
      <c r="I96" s="166"/>
      <c r="J96" s="166"/>
      <c r="K96" s="166"/>
      <c r="L96" s="166"/>
      <c r="M96" s="166"/>
      <c r="N96" s="166"/>
      <c r="O96" s="167">
        <v>600</v>
      </c>
      <c r="P96" s="168"/>
      <c r="Q96" s="169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</row>
    <row r="97" spans="1:41" s="257" customFormat="1" ht="18" customHeight="1">
      <c r="A97" s="242" t="s">
        <v>125</v>
      </c>
      <c r="B97" s="263" t="s">
        <v>161</v>
      </c>
      <c r="C97" s="254"/>
      <c r="D97" s="138">
        <f>32.36+20.9664</f>
        <v>53.3264</v>
      </c>
      <c r="E97" s="138"/>
      <c r="F97" s="138">
        <v>480</v>
      </c>
      <c r="G97" s="138"/>
      <c r="H97" s="138">
        <f>E97+F97-G97</f>
        <v>480</v>
      </c>
      <c r="I97" s="176"/>
      <c r="J97" s="176"/>
      <c r="K97" s="176"/>
      <c r="L97" s="176"/>
      <c r="M97" s="176"/>
      <c r="N97" s="176"/>
      <c r="O97" s="177">
        <v>100</v>
      </c>
      <c r="P97" s="255"/>
      <c r="Q97" s="256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</row>
    <row r="98" spans="1:41" s="257" customFormat="1" ht="18" customHeight="1">
      <c r="A98" s="242" t="s">
        <v>125</v>
      </c>
      <c r="B98" s="263" t="s">
        <v>162</v>
      </c>
      <c r="C98" s="254"/>
      <c r="D98" s="138">
        <v>160</v>
      </c>
      <c r="E98" s="138"/>
      <c r="F98" s="138">
        <v>100</v>
      </c>
      <c r="G98" s="138"/>
      <c r="H98" s="138">
        <f>E98+F98-G98</f>
        <v>100</v>
      </c>
      <c r="I98" s="176"/>
      <c r="J98" s="176"/>
      <c r="K98" s="176"/>
      <c r="L98" s="176"/>
      <c r="M98" s="176"/>
      <c r="N98" s="176"/>
      <c r="O98" s="177">
        <v>200</v>
      </c>
      <c r="P98" s="255"/>
      <c r="Q98" s="256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</row>
    <row r="99" spans="1:41" s="257" customFormat="1" ht="18" customHeight="1">
      <c r="A99" s="242" t="s">
        <v>125</v>
      </c>
      <c r="B99" s="263" t="s">
        <v>163</v>
      </c>
      <c r="C99" s="264"/>
      <c r="D99" s="235">
        <f aca="true" t="shared" si="26" ref="D99:O99">D100+D113+D114+D115+D120+D121+D122+D123+D124+D125+D126+D127+D130</f>
        <v>5953.079000000001</v>
      </c>
      <c r="E99" s="235">
        <f t="shared" si="26"/>
        <v>384</v>
      </c>
      <c r="F99" s="235">
        <f>F100+F113+F114+F115+F120+F121+F122+F123+F124+F125+F126+F127+F128+F129+F130</f>
        <v>6472</v>
      </c>
      <c r="G99" s="235">
        <f>G100+G113+G114+G115+G120+G121+G122+G123+G124+G125+G126+G127+G128+G130</f>
        <v>0</v>
      </c>
      <c r="H99" s="235">
        <f>H100+H113+H114+H115+H120+H121+H122+H123+H124+H125+H126+H127+H128+H129+H130</f>
        <v>6856</v>
      </c>
      <c r="I99" s="235">
        <f t="shared" si="26"/>
        <v>0</v>
      </c>
      <c r="J99" s="235">
        <f t="shared" si="26"/>
        <v>0</v>
      </c>
      <c r="K99" s="235">
        <f t="shared" si="26"/>
        <v>0</v>
      </c>
      <c r="L99" s="235">
        <f t="shared" si="26"/>
        <v>0</v>
      </c>
      <c r="M99" s="235">
        <f t="shared" si="26"/>
        <v>0</v>
      </c>
      <c r="N99" s="235">
        <f t="shared" si="26"/>
        <v>0</v>
      </c>
      <c r="O99" s="235">
        <f t="shared" si="26"/>
        <v>2110</v>
      </c>
      <c r="P99" s="255"/>
      <c r="Q99" s="256"/>
      <c r="R99" s="26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</row>
    <row r="100" spans="1:41" s="170" customFormat="1" ht="18" customHeight="1">
      <c r="A100" s="226"/>
      <c r="B100" s="163" t="s">
        <v>164</v>
      </c>
      <c r="C100" s="163"/>
      <c r="D100" s="165">
        <f>SUM(D101:D112)</f>
        <v>179.56</v>
      </c>
      <c r="E100" s="165">
        <f aca="true" t="shared" si="27" ref="E100:O100">SUM(E101:E112)</f>
        <v>0</v>
      </c>
      <c r="F100" s="165">
        <f>SUM(F101:F112)</f>
        <v>740</v>
      </c>
      <c r="G100" s="165">
        <f t="shared" si="27"/>
        <v>0</v>
      </c>
      <c r="H100" s="165">
        <f t="shared" si="27"/>
        <v>740</v>
      </c>
      <c r="I100" s="165">
        <f t="shared" si="27"/>
        <v>0</v>
      </c>
      <c r="J100" s="165">
        <f t="shared" si="27"/>
        <v>0</v>
      </c>
      <c r="K100" s="165">
        <f t="shared" si="27"/>
        <v>0</v>
      </c>
      <c r="L100" s="165">
        <f t="shared" si="27"/>
        <v>0</v>
      </c>
      <c r="M100" s="165">
        <f t="shared" si="27"/>
        <v>0</v>
      </c>
      <c r="N100" s="165">
        <f t="shared" si="27"/>
        <v>0</v>
      </c>
      <c r="O100" s="165">
        <f t="shared" si="27"/>
        <v>340</v>
      </c>
      <c r="P100" s="168"/>
      <c r="Q100" s="169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</row>
    <row r="101" spans="1:41" s="251" customFormat="1" ht="18" customHeight="1">
      <c r="A101" s="242"/>
      <c r="B101" s="266" t="s">
        <v>310</v>
      </c>
      <c r="C101" s="267"/>
      <c r="D101" s="245">
        <v>20</v>
      </c>
      <c r="E101" s="245"/>
      <c r="F101" s="245">
        <f>F31</f>
        <v>180</v>
      </c>
      <c r="G101" s="245"/>
      <c r="H101" s="245">
        <f>E101+F101-G101</f>
        <v>180</v>
      </c>
      <c r="I101" s="268"/>
      <c r="J101" s="268"/>
      <c r="K101" s="268"/>
      <c r="L101" s="268"/>
      <c r="M101" s="268"/>
      <c r="N101" s="268"/>
      <c r="O101" s="269">
        <v>320</v>
      </c>
      <c r="P101" s="270"/>
      <c r="Q101" s="250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</row>
    <row r="102" spans="1:41" s="251" customFormat="1" ht="18.75" customHeight="1" hidden="1">
      <c r="A102" s="242"/>
      <c r="B102" s="271" t="s">
        <v>311</v>
      </c>
      <c r="C102" s="272"/>
      <c r="D102" s="245"/>
      <c r="E102" s="245"/>
      <c r="F102" s="245"/>
      <c r="G102" s="245"/>
      <c r="H102" s="245">
        <f aca="true" t="shared" si="28" ref="H102:H112">E102+F102-G102</f>
        <v>0</v>
      </c>
      <c r="I102" s="268"/>
      <c r="J102" s="268"/>
      <c r="K102" s="268"/>
      <c r="L102" s="268"/>
      <c r="M102" s="268"/>
      <c r="N102" s="268"/>
      <c r="O102" s="269"/>
      <c r="P102" s="249"/>
      <c r="Q102" s="250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</row>
    <row r="103" spans="1:41" s="251" customFormat="1" ht="18" customHeight="1">
      <c r="A103" s="242"/>
      <c r="B103" s="266" t="s">
        <v>312</v>
      </c>
      <c r="C103" s="267"/>
      <c r="D103" s="245"/>
      <c r="E103" s="245"/>
      <c r="F103" s="245">
        <v>160</v>
      </c>
      <c r="G103" s="245"/>
      <c r="H103" s="245">
        <f t="shared" si="28"/>
        <v>160</v>
      </c>
      <c r="I103" s="268"/>
      <c r="J103" s="268"/>
      <c r="K103" s="268"/>
      <c r="L103" s="268"/>
      <c r="M103" s="268"/>
      <c r="N103" s="268"/>
      <c r="O103" s="269">
        <v>20</v>
      </c>
      <c r="P103" s="249"/>
      <c r="Q103" s="250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</row>
    <row r="104" spans="1:41" s="251" customFormat="1" ht="18" customHeight="1" hidden="1">
      <c r="A104" s="242"/>
      <c r="B104" s="266" t="s">
        <v>165</v>
      </c>
      <c r="C104" s="266"/>
      <c r="D104" s="245"/>
      <c r="E104" s="245"/>
      <c r="F104" s="245"/>
      <c r="G104" s="245"/>
      <c r="H104" s="245">
        <f t="shared" si="28"/>
        <v>0</v>
      </c>
      <c r="I104" s="268"/>
      <c r="J104" s="268"/>
      <c r="K104" s="268"/>
      <c r="L104" s="268"/>
      <c r="M104" s="268"/>
      <c r="N104" s="268"/>
      <c r="O104" s="269"/>
      <c r="P104" s="249"/>
      <c r="Q104" s="250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</row>
    <row r="105" spans="1:41" s="251" customFormat="1" ht="18" customHeight="1">
      <c r="A105" s="242"/>
      <c r="B105" s="266" t="s">
        <v>313</v>
      </c>
      <c r="C105" s="266"/>
      <c r="D105" s="245"/>
      <c r="E105" s="245"/>
      <c r="F105" s="245">
        <v>400</v>
      </c>
      <c r="G105" s="245"/>
      <c r="H105" s="245">
        <f t="shared" si="28"/>
        <v>400</v>
      </c>
      <c r="I105" s="268"/>
      <c r="J105" s="268"/>
      <c r="K105" s="268"/>
      <c r="L105" s="268"/>
      <c r="M105" s="268"/>
      <c r="N105" s="268"/>
      <c r="O105" s="269"/>
      <c r="P105" s="249"/>
      <c r="Q105" s="250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</row>
    <row r="106" spans="1:41" s="251" customFormat="1" ht="18" customHeight="1">
      <c r="A106" s="242"/>
      <c r="B106" s="266" t="s">
        <v>259</v>
      </c>
      <c r="C106" s="266"/>
      <c r="D106" s="245">
        <v>79.56</v>
      </c>
      <c r="E106" s="245"/>
      <c r="F106" s="245"/>
      <c r="G106" s="245"/>
      <c r="H106" s="245">
        <f t="shared" si="28"/>
        <v>0</v>
      </c>
      <c r="I106" s="268"/>
      <c r="J106" s="268"/>
      <c r="K106" s="268"/>
      <c r="L106" s="268"/>
      <c r="M106" s="268"/>
      <c r="N106" s="268"/>
      <c r="O106" s="269"/>
      <c r="P106" s="249"/>
      <c r="Q106" s="250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</row>
    <row r="107" spans="1:41" s="251" customFormat="1" ht="18" customHeight="1" hidden="1">
      <c r="A107" s="242"/>
      <c r="B107" s="266" t="s">
        <v>166</v>
      </c>
      <c r="C107" s="266"/>
      <c r="D107" s="245"/>
      <c r="E107" s="245"/>
      <c r="F107" s="245"/>
      <c r="G107" s="245"/>
      <c r="H107" s="245">
        <f t="shared" si="28"/>
        <v>0</v>
      </c>
      <c r="I107" s="268"/>
      <c r="J107" s="268"/>
      <c r="K107" s="268"/>
      <c r="L107" s="268"/>
      <c r="M107" s="268"/>
      <c r="N107" s="268"/>
      <c r="O107" s="269"/>
      <c r="P107" s="249"/>
      <c r="Q107" s="250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</row>
    <row r="108" spans="1:41" s="251" customFormat="1" ht="18" customHeight="1" hidden="1">
      <c r="A108" s="242"/>
      <c r="B108" s="243" t="s">
        <v>167</v>
      </c>
      <c r="C108" s="272"/>
      <c r="D108" s="245"/>
      <c r="E108" s="245"/>
      <c r="F108" s="245"/>
      <c r="G108" s="245"/>
      <c r="H108" s="245">
        <f t="shared" si="28"/>
        <v>0</v>
      </c>
      <c r="I108" s="268"/>
      <c r="J108" s="268"/>
      <c r="K108" s="268"/>
      <c r="L108" s="268"/>
      <c r="M108" s="268"/>
      <c r="N108" s="268"/>
      <c r="O108" s="269"/>
      <c r="P108" s="249"/>
      <c r="Q108" s="250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249"/>
      <c r="AN108" s="249"/>
      <c r="AO108" s="249"/>
    </row>
    <row r="109" spans="1:41" s="251" customFormat="1" ht="18" customHeight="1" hidden="1">
      <c r="A109" s="242"/>
      <c r="B109" s="243" t="s">
        <v>168</v>
      </c>
      <c r="C109" s="272"/>
      <c r="D109" s="245"/>
      <c r="E109" s="245"/>
      <c r="F109" s="245"/>
      <c r="G109" s="245"/>
      <c r="H109" s="245">
        <f t="shared" si="28"/>
        <v>0</v>
      </c>
      <c r="I109" s="268"/>
      <c r="J109" s="268"/>
      <c r="K109" s="268"/>
      <c r="L109" s="268"/>
      <c r="M109" s="268"/>
      <c r="N109" s="268"/>
      <c r="O109" s="269"/>
      <c r="P109" s="249"/>
      <c r="Q109" s="250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</row>
    <row r="110" spans="1:41" s="251" customFormat="1" ht="18" customHeight="1" hidden="1">
      <c r="A110" s="242"/>
      <c r="B110" s="243" t="s">
        <v>169</v>
      </c>
      <c r="C110" s="272"/>
      <c r="D110" s="245"/>
      <c r="E110" s="245"/>
      <c r="F110" s="245"/>
      <c r="G110" s="245"/>
      <c r="H110" s="245">
        <f t="shared" si="28"/>
        <v>0</v>
      </c>
      <c r="I110" s="268"/>
      <c r="J110" s="268"/>
      <c r="K110" s="268"/>
      <c r="L110" s="268"/>
      <c r="M110" s="268"/>
      <c r="N110" s="268"/>
      <c r="O110" s="269"/>
      <c r="P110" s="249"/>
      <c r="Q110" s="250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</row>
    <row r="111" spans="1:41" s="251" customFormat="1" ht="18" customHeight="1">
      <c r="A111" s="242"/>
      <c r="B111" s="243" t="s">
        <v>314</v>
      </c>
      <c r="C111" s="272"/>
      <c r="D111" s="245">
        <v>40</v>
      </c>
      <c r="E111" s="245"/>
      <c r="F111" s="245"/>
      <c r="G111" s="245"/>
      <c r="H111" s="245">
        <f t="shared" si="28"/>
        <v>0</v>
      </c>
      <c r="I111" s="268"/>
      <c r="J111" s="268"/>
      <c r="K111" s="268"/>
      <c r="L111" s="268"/>
      <c r="M111" s="268"/>
      <c r="N111" s="268"/>
      <c r="O111" s="269"/>
      <c r="P111" s="249"/>
      <c r="Q111" s="250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</row>
    <row r="112" spans="1:41" s="251" customFormat="1" ht="18" customHeight="1">
      <c r="A112" s="242"/>
      <c r="B112" s="243" t="s">
        <v>170</v>
      </c>
      <c r="C112" s="272"/>
      <c r="D112" s="245">
        <v>40</v>
      </c>
      <c r="E112" s="245"/>
      <c r="F112" s="245"/>
      <c r="G112" s="245"/>
      <c r="H112" s="245">
        <f t="shared" si="28"/>
        <v>0</v>
      </c>
      <c r="I112" s="268"/>
      <c r="J112" s="268"/>
      <c r="K112" s="268"/>
      <c r="L112" s="268"/>
      <c r="M112" s="268"/>
      <c r="N112" s="268"/>
      <c r="O112" s="269"/>
      <c r="P112" s="249"/>
      <c r="Q112" s="250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</row>
    <row r="113" spans="1:41" s="275" customFormat="1" ht="18" customHeight="1" hidden="1">
      <c r="A113" s="173"/>
      <c r="B113" s="171" t="s">
        <v>171</v>
      </c>
      <c r="C113" s="163"/>
      <c r="D113" s="132"/>
      <c r="E113" s="132"/>
      <c r="F113" s="132"/>
      <c r="G113" s="132"/>
      <c r="H113" s="132">
        <f>E113+F113-G113</f>
        <v>0</v>
      </c>
      <c r="I113" s="166"/>
      <c r="J113" s="166"/>
      <c r="K113" s="166"/>
      <c r="L113" s="166"/>
      <c r="M113" s="166"/>
      <c r="N113" s="166"/>
      <c r="O113" s="234"/>
      <c r="P113" s="273"/>
      <c r="Q113" s="274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</row>
    <row r="114" spans="1:41" s="275" customFormat="1" ht="18" customHeight="1" hidden="1">
      <c r="A114" s="173"/>
      <c r="B114" s="171" t="s">
        <v>172</v>
      </c>
      <c r="C114" s="163"/>
      <c r="D114" s="132"/>
      <c r="E114" s="132"/>
      <c r="F114" s="132"/>
      <c r="G114" s="132"/>
      <c r="H114" s="132">
        <f>E114+F114-G114</f>
        <v>0</v>
      </c>
      <c r="I114" s="166"/>
      <c r="J114" s="166"/>
      <c r="K114" s="166"/>
      <c r="L114" s="166"/>
      <c r="M114" s="166"/>
      <c r="N114" s="166"/>
      <c r="O114" s="234"/>
      <c r="P114" s="273"/>
      <c r="Q114" s="274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</row>
    <row r="115" spans="1:41" s="275" customFormat="1" ht="18" customHeight="1">
      <c r="A115" s="173"/>
      <c r="B115" s="163" t="s">
        <v>173</v>
      </c>
      <c r="C115" s="171"/>
      <c r="D115" s="132">
        <f>SUM(D116:D119)</f>
        <v>1287.7620000000002</v>
      </c>
      <c r="E115" s="132">
        <f>SUM(E116:E119)</f>
        <v>0</v>
      </c>
      <c r="F115" s="132">
        <f>SUM(F116:F119)</f>
        <v>450</v>
      </c>
      <c r="G115" s="132">
        <f>SUM(G116:G119)</f>
        <v>0</v>
      </c>
      <c r="H115" s="132">
        <f>SUM(H116:H119)</f>
        <v>450</v>
      </c>
      <c r="I115" s="166"/>
      <c r="J115" s="166"/>
      <c r="K115" s="166"/>
      <c r="L115" s="166"/>
      <c r="M115" s="166"/>
      <c r="N115" s="166"/>
      <c r="O115" s="234"/>
      <c r="P115" s="273"/>
      <c r="Q115" s="274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  <c r="AO115" s="273"/>
    </row>
    <row r="116" spans="1:41" s="279" customFormat="1" ht="18" customHeight="1">
      <c r="A116" s="276"/>
      <c r="B116" s="266" t="s">
        <v>315</v>
      </c>
      <c r="C116" s="266"/>
      <c r="D116" s="245"/>
      <c r="E116" s="245"/>
      <c r="F116" s="245">
        <v>450</v>
      </c>
      <c r="G116" s="245"/>
      <c r="H116" s="245">
        <f>E116+F116-G116</f>
        <v>450</v>
      </c>
      <c r="I116" s="268"/>
      <c r="J116" s="268"/>
      <c r="K116" s="268"/>
      <c r="L116" s="268"/>
      <c r="M116" s="268"/>
      <c r="N116" s="268"/>
      <c r="O116" s="269"/>
      <c r="P116" s="277"/>
      <c r="Q116" s="278"/>
      <c r="R116" s="277"/>
      <c r="S116" s="277"/>
      <c r="T116" s="277"/>
      <c r="U116" s="277"/>
      <c r="V116" s="277"/>
      <c r="W116" s="277"/>
      <c r="X116" s="277"/>
      <c r="Y116" s="277"/>
      <c r="Z116" s="277"/>
      <c r="AA116" s="277"/>
      <c r="AB116" s="277"/>
      <c r="AC116" s="277"/>
      <c r="AD116" s="277"/>
      <c r="AE116" s="277"/>
      <c r="AF116" s="277"/>
      <c r="AG116" s="277"/>
      <c r="AH116" s="277"/>
      <c r="AI116" s="277"/>
      <c r="AJ116" s="277"/>
      <c r="AK116" s="277"/>
      <c r="AL116" s="277"/>
      <c r="AM116" s="277"/>
      <c r="AN116" s="277"/>
      <c r="AO116" s="277"/>
    </row>
    <row r="117" spans="1:41" s="279" customFormat="1" ht="18" customHeight="1" hidden="1">
      <c r="A117" s="276"/>
      <c r="B117" s="266" t="s">
        <v>316</v>
      </c>
      <c r="C117" s="266"/>
      <c r="D117" s="245"/>
      <c r="E117" s="245"/>
      <c r="F117" s="245"/>
      <c r="G117" s="245"/>
      <c r="H117" s="245">
        <f>E117+F117-G117</f>
        <v>0</v>
      </c>
      <c r="I117" s="268"/>
      <c r="J117" s="268"/>
      <c r="K117" s="268"/>
      <c r="L117" s="268"/>
      <c r="M117" s="268"/>
      <c r="N117" s="268"/>
      <c r="O117" s="269"/>
      <c r="P117" s="277"/>
      <c r="Q117" s="278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277"/>
      <c r="AO117" s="277"/>
    </row>
    <row r="118" spans="1:41" s="279" customFormat="1" ht="18" customHeight="1">
      <c r="A118" s="276"/>
      <c r="B118" s="266" t="s">
        <v>317</v>
      </c>
      <c r="C118" s="266"/>
      <c r="D118" s="245">
        <v>64.4</v>
      </c>
      <c r="E118" s="245"/>
      <c r="F118" s="245"/>
      <c r="G118" s="245"/>
      <c r="H118" s="245">
        <f>E118+F118-G118</f>
        <v>0</v>
      </c>
      <c r="I118" s="268"/>
      <c r="J118" s="268"/>
      <c r="K118" s="268"/>
      <c r="L118" s="268"/>
      <c r="M118" s="268"/>
      <c r="N118" s="268"/>
      <c r="O118" s="269"/>
      <c r="P118" s="277"/>
      <c r="Q118" s="278"/>
      <c r="R118" s="277"/>
      <c r="S118" s="277"/>
      <c r="T118" s="277"/>
      <c r="U118" s="277"/>
      <c r="V118" s="277"/>
      <c r="W118" s="277"/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  <c r="AK118" s="277"/>
      <c r="AL118" s="277"/>
      <c r="AM118" s="277"/>
      <c r="AN118" s="277"/>
      <c r="AO118" s="277"/>
    </row>
    <row r="119" spans="1:41" s="279" customFormat="1" ht="18" customHeight="1">
      <c r="A119" s="276"/>
      <c r="B119" s="266" t="s">
        <v>318</v>
      </c>
      <c r="C119" s="267"/>
      <c r="D119" s="245">
        <v>1223.362</v>
      </c>
      <c r="E119" s="245"/>
      <c r="F119" s="245"/>
      <c r="G119" s="245"/>
      <c r="H119" s="245">
        <f>E119+F119-G119</f>
        <v>0</v>
      </c>
      <c r="I119" s="268"/>
      <c r="J119" s="268"/>
      <c r="K119" s="268"/>
      <c r="L119" s="268"/>
      <c r="M119" s="268"/>
      <c r="N119" s="268"/>
      <c r="O119" s="269"/>
      <c r="P119" s="277"/>
      <c r="Q119" s="278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277"/>
      <c r="AO119" s="277"/>
    </row>
    <row r="120" spans="1:41" s="275" customFormat="1" ht="18" customHeight="1">
      <c r="A120" s="280"/>
      <c r="B120" s="171" t="s">
        <v>319</v>
      </c>
      <c r="C120" s="171"/>
      <c r="D120" s="132">
        <v>1587</v>
      </c>
      <c r="E120" s="132"/>
      <c r="F120" s="132">
        <v>1960</v>
      </c>
      <c r="G120" s="132"/>
      <c r="H120" s="132">
        <f aca="true" t="shared" si="29" ref="H120:H127">E120+F120-G120</f>
        <v>1960</v>
      </c>
      <c r="I120" s="166"/>
      <c r="J120" s="166"/>
      <c r="K120" s="166"/>
      <c r="L120" s="166"/>
      <c r="M120" s="166"/>
      <c r="N120" s="166"/>
      <c r="O120" s="167"/>
      <c r="P120" s="273"/>
      <c r="Q120" s="274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</row>
    <row r="121" spans="1:41" s="275" customFormat="1" ht="18" customHeight="1">
      <c r="A121" s="280"/>
      <c r="B121" s="171" t="s">
        <v>174</v>
      </c>
      <c r="C121" s="171"/>
      <c r="D121" s="132">
        <f>2389.332</f>
        <v>2389.332</v>
      </c>
      <c r="E121" s="132"/>
      <c r="F121" s="132">
        <v>2200</v>
      </c>
      <c r="G121" s="132"/>
      <c r="H121" s="132">
        <f t="shared" si="29"/>
        <v>2200</v>
      </c>
      <c r="I121" s="166"/>
      <c r="J121" s="166"/>
      <c r="K121" s="166"/>
      <c r="L121" s="166"/>
      <c r="M121" s="166"/>
      <c r="N121" s="166"/>
      <c r="O121" s="167"/>
      <c r="P121" s="273"/>
      <c r="Q121" s="274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  <c r="AM121" s="273"/>
      <c r="AN121" s="273"/>
      <c r="AO121" s="273"/>
    </row>
    <row r="122" spans="1:41" s="275" customFormat="1" ht="18" customHeight="1">
      <c r="A122" s="280"/>
      <c r="B122" s="171" t="s">
        <v>175</v>
      </c>
      <c r="C122" s="171"/>
      <c r="D122" s="132">
        <v>509.425</v>
      </c>
      <c r="E122" s="132"/>
      <c r="F122" s="132">
        <v>500</v>
      </c>
      <c r="G122" s="132"/>
      <c r="H122" s="132">
        <f t="shared" si="29"/>
        <v>500</v>
      </c>
      <c r="I122" s="166"/>
      <c r="J122" s="166"/>
      <c r="K122" s="166"/>
      <c r="L122" s="166"/>
      <c r="M122" s="166"/>
      <c r="N122" s="166"/>
      <c r="O122" s="167">
        <v>50</v>
      </c>
      <c r="P122" s="273"/>
      <c r="Q122" s="274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</row>
    <row r="123" spans="1:41" s="275" customFormat="1" ht="18" customHeight="1">
      <c r="A123" s="280"/>
      <c r="B123" s="163" t="s">
        <v>260</v>
      </c>
      <c r="C123" s="163"/>
      <c r="D123" s="132"/>
      <c r="E123" s="132"/>
      <c r="F123" s="132"/>
      <c r="G123" s="132"/>
      <c r="H123" s="132">
        <f t="shared" si="29"/>
        <v>0</v>
      </c>
      <c r="I123" s="166"/>
      <c r="J123" s="166"/>
      <c r="K123" s="166"/>
      <c r="L123" s="166"/>
      <c r="M123" s="166"/>
      <c r="N123" s="166"/>
      <c r="O123" s="167">
        <v>200</v>
      </c>
      <c r="P123" s="273"/>
      <c r="Q123" s="274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  <c r="AM123" s="273"/>
      <c r="AN123" s="273"/>
      <c r="AO123" s="273"/>
    </row>
    <row r="124" spans="1:41" s="275" customFormat="1" ht="18" customHeight="1">
      <c r="A124" s="280"/>
      <c r="B124" s="163" t="s">
        <v>176</v>
      </c>
      <c r="C124" s="163"/>
      <c r="D124" s="132"/>
      <c r="E124" s="132"/>
      <c r="F124" s="132"/>
      <c r="G124" s="132"/>
      <c r="H124" s="132">
        <f t="shared" si="29"/>
        <v>0</v>
      </c>
      <c r="I124" s="166"/>
      <c r="J124" s="166"/>
      <c r="K124" s="166"/>
      <c r="L124" s="166"/>
      <c r="M124" s="166"/>
      <c r="N124" s="166"/>
      <c r="O124" s="167"/>
      <c r="P124" s="273"/>
      <c r="Q124" s="274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I124" s="273"/>
      <c r="AJ124" s="273"/>
      <c r="AK124" s="273"/>
      <c r="AL124" s="273"/>
      <c r="AM124" s="273"/>
      <c r="AN124" s="273"/>
      <c r="AO124" s="273"/>
    </row>
    <row r="125" spans="1:41" s="275" customFormat="1" ht="18" customHeight="1">
      <c r="A125" s="280"/>
      <c r="B125" s="171" t="s">
        <v>177</v>
      </c>
      <c r="C125" s="163"/>
      <c r="D125" s="132"/>
      <c r="E125" s="132"/>
      <c r="F125" s="132">
        <f>F27</f>
        <v>172</v>
      </c>
      <c r="G125" s="132"/>
      <c r="H125" s="132">
        <f t="shared" si="29"/>
        <v>172</v>
      </c>
      <c r="I125" s="166"/>
      <c r="J125" s="166"/>
      <c r="K125" s="166"/>
      <c r="L125" s="166"/>
      <c r="M125" s="166"/>
      <c r="N125" s="166"/>
      <c r="O125" s="167"/>
      <c r="P125" s="273"/>
      <c r="Q125" s="274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3"/>
    </row>
    <row r="126" spans="1:41" s="275" customFormat="1" ht="21.75" customHeight="1">
      <c r="A126" s="280"/>
      <c r="B126" s="163" t="s">
        <v>320</v>
      </c>
      <c r="C126" s="163"/>
      <c r="D126" s="132"/>
      <c r="E126" s="132"/>
      <c r="F126" s="132">
        <v>200</v>
      </c>
      <c r="G126" s="132"/>
      <c r="H126" s="132">
        <f t="shared" si="29"/>
        <v>200</v>
      </c>
      <c r="I126" s="166"/>
      <c r="J126" s="166"/>
      <c r="K126" s="166"/>
      <c r="L126" s="166"/>
      <c r="M126" s="166"/>
      <c r="N126" s="166"/>
      <c r="O126" s="167">
        <v>200</v>
      </c>
      <c r="P126" s="273"/>
      <c r="Q126" s="274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I126" s="273"/>
      <c r="AJ126" s="273"/>
      <c r="AK126" s="273"/>
      <c r="AL126" s="273"/>
      <c r="AM126" s="273"/>
      <c r="AN126" s="273"/>
      <c r="AO126" s="273"/>
    </row>
    <row r="127" spans="1:41" s="275" customFormat="1" ht="21.75" customHeight="1">
      <c r="A127" s="280"/>
      <c r="B127" s="163" t="s">
        <v>321</v>
      </c>
      <c r="C127" s="163"/>
      <c r="D127" s="132"/>
      <c r="E127" s="132"/>
      <c r="F127" s="132">
        <v>100</v>
      </c>
      <c r="G127" s="132"/>
      <c r="H127" s="132">
        <f t="shared" si="29"/>
        <v>100</v>
      </c>
      <c r="I127" s="166"/>
      <c r="J127" s="166"/>
      <c r="K127" s="166"/>
      <c r="L127" s="166"/>
      <c r="M127" s="166"/>
      <c r="N127" s="166"/>
      <c r="O127" s="167"/>
      <c r="P127" s="273"/>
      <c r="Q127" s="274"/>
      <c r="R127" s="273"/>
      <c r="S127" s="273"/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273"/>
      <c r="AH127" s="273"/>
      <c r="AI127" s="273"/>
      <c r="AJ127" s="273"/>
      <c r="AK127" s="273"/>
      <c r="AL127" s="273"/>
      <c r="AM127" s="273"/>
      <c r="AN127" s="273"/>
      <c r="AO127" s="273"/>
    </row>
    <row r="128" spans="1:41" s="275" customFormat="1" ht="21.75" customHeight="1">
      <c r="A128" s="280"/>
      <c r="B128" s="243" t="s">
        <v>322</v>
      </c>
      <c r="C128" s="163"/>
      <c r="D128" s="132"/>
      <c r="E128" s="132"/>
      <c r="F128" s="132">
        <v>80</v>
      </c>
      <c r="G128" s="132"/>
      <c r="H128" s="132">
        <v>80</v>
      </c>
      <c r="I128" s="166"/>
      <c r="J128" s="166"/>
      <c r="K128" s="166"/>
      <c r="L128" s="166"/>
      <c r="M128" s="166"/>
      <c r="N128" s="166"/>
      <c r="O128" s="167"/>
      <c r="P128" s="273"/>
      <c r="Q128" s="274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  <c r="AJ128" s="273"/>
      <c r="AK128" s="273"/>
      <c r="AL128" s="273"/>
      <c r="AM128" s="273"/>
      <c r="AN128" s="273"/>
      <c r="AO128" s="273"/>
    </row>
    <row r="129" spans="1:41" s="275" customFormat="1" ht="21.75" customHeight="1">
      <c r="A129" s="280"/>
      <c r="B129" s="243" t="s">
        <v>323</v>
      </c>
      <c r="C129" s="163"/>
      <c r="D129" s="132"/>
      <c r="E129" s="132"/>
      <c r="F129" s="132">
        <v>70</v>
      </c>
      <c r="G129" s="132"/>
      <c r="H129" s="132">
        <v>70</v>
      </c>
      <c r="I129" s="166"/>
      <c r="J129" s="166"/>
      <c r="K129" s="166"/>
      <c r="L129" s="166"/>
      <c r="M129" s="166"/>
      <c r="N129" s="166"/>
      <c r="O129" s="167"/>
      <c r="P129" s="273"/>
      <c r="Q129" s="274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I129" s="273"/>
      <c r="AJ129" s="273"/>
      <c r="AK129" s="273"/>
      <c r="AL129" s="273"/>
      <c r="AM129" s="273"/>
      <c r="AN129" s="273"/>
      <c r="AO129" s="273"/>
    </row>
    <row r="130" spans="1:41" s="275" customFormat="1" ht="18" customHeight="1">
      <c r="A130" s="280"/>
      <c r="B130" s="163" t="s">
        <v>261</v>
      </c>
      <c r="C130" s="163"/>
      <c r="D130" s="132"/>
      <c r="E130" s="132">
        <v>384</v>
      </c>
      <c r="F130" s="132"/>
      <c r="G130" s="132"/>
      <c r="H130" s="132">
        <f>E130+F130-G130</f>
        <v>384</v>
      </c>
      <c r="I130" s="166"/>
      <c r="J130" s="166"/>
      <c r="K130" s="166"/>
      <c r="L130" s="166"/>
      <c r="M130" s="166"/>
      <c r="N130" s="166"/>
      <c r="O130" s="167">
        <v>1320</v>
      </c>
      <c r="P130" s="273"/>
      <c r="Q130" s="274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I130" s="273"/>
      <c r="AJ130" s="273"/>
      <c r="AK130" s="273"/>
      <c r="AL130" s="273"/>
      <c r="AM130" s="273"/>
      <c r="AN130" s="273"/>
      <c r="AO130" s="273"/>
    </row>
    <row r="131" spans="1:41" s="285" customFormat="1" ht="18" customHeight="1">
      <c r="A131" s="276" t="s">
        <v>125</v>
      </c>
      <c r="B131" s="281" t="s">
        <v>178</v>
      </c>
      <c r="C131" s="282"/>
      <c r="D131" s="138"/>
      <c r="E131" s="138"/>
      <c r="F131" s="138">
        <v>200</v>
      </c>
      <c r="G131" s="138"/>
      <c r="H131" s="138">
        <f>E131+F131-G131</f>
        <v>200</v>
      </c>
      <c r="I131" s="176"/>
      <c r="J131" s="176"/>
      <c r="K131" s="176"/>
      <c r="L131" s="176"/>
      <c r="M131" s="176"/>
      <c r="N131" s="176"/>
      <c r="O131" s="177"/>
      <c r="P131" s="283"/>
      <c r="Q131" s="284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</row>
    <row r="132" spans="1:41" s="285" customFormat="1" ht="18" customHeight="1">
      <c r="A132" s="276" t="s">
        <v>125</v>
      </c>
      <c r="B132" s="281" t="s">
        <v>179</v>
      </c>
      <c r="C132" s="282"/>
      <c r="D132" s="138">
        <f>195.735+82.98552+435.843</f>
        <v>714.56352</v>
      </c>
      <c r="E132" s="138"/>
      <c r="F132" s="138">
        <f>SUM(F133:F136)</f>
        <v>1014</v>
      </c>
      <c r="G132" s="138"/>
      <c r="H132" s="138">
        <f>E132+F132-G132</f>
        <v>1014</v>
      </c>
      <c r="I132" s="176"/>
      <c r="J132" s="176"/>
      <c r="K132" s="176"/>
      <c r="L132" s="176"/>
      <c r="M132" s="176"/>
      <c r="N132" s="176"/>
      <c r="O132" s="138">
        <f>SUM(O133:O136)</f>
        <v>402</v>
      </c>
      <c r="P132" s="283"/>
      <c r="Q132" s="284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</row>
    <row r="133" spans="1:41" s="275" customFormat="1" ht="18" customHeight="1">
      <c r="A133" s="162"/>
      <c r="B133" s="171" t="s">
        <v>324</v>
      </c>
      <c r="C133" s="286"/>
      <c r="D133" s="132"/>
      <c r="E133" s="132"/>
      <c r="F133" s="132">
        <v>454</v>
      </c>
      <c r="G133" s="132"/>
      <c r="H133" s="132"/>
      <c r="I133" s="166"/>
      <c r="J133" s="166"/>
      <c r="K133" s="166"/>
      <c r="L133" s="166"/>
      <c r="M133" s="166"/>
      <c r="N133" s="166"/>
      <c r="O133" s="167">
        <v>151</v>
      </c>
      <c r="P133" s="273"/>
      <c r="Q133" s="274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</row>
    <row r="134" spans="1:41" s="275" customFormat="1" ht="18" customHeight="1">
      <c r="A134" s="162"/>
      <c r="B134" s="171" t="s">
        <v>325</v>
      </c>
      <c r="C134" s="286"/>
      <c r="D134" s="132"/>
      <c r="E134" s="132"/>
      <c r="F134" s="132">
        <v>560</v>
      </c>
      <c r="G134" s="132"/>
      <c r="H134" s="132"/>
      <c r="I134" s="166"/>
      <c r="J134" s="166"/>
      <c r="K134" s="166"/>
      <c r="L134" s="166"/>
      <c r="M134" s="166"/>
      <c r="N134" s="166"/>
      <c r="O134" s="167"/>
      <c r="P134" s="273"/>
      <c r="Q134" s="274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</row>
    <row r="135" spans="1:41" s="275" customFormat="1" ht="18" customHeight="1">
      <c r="A135" s="162"/>
      <c r="B135" s="171" t="s">
        <v>326</v>
      </c>
      <c r="C135" s="286"/>
      <c r="D135" s="132"/>
      <c r="E135" s="132"/>
      <c r="F135" s="132"/>
      <c r="G135" s="132"/>
      <c r="H135" s="132"/>
      <c r="I135" s="166"/>
      <c r="J135" s="166"/>
      <c r="K135" s="166"/>
      <c r="L135" s="166"/>
      <c r="M135" s="166"/>
      <c r="N135" s="166"/>
      <c r="O135" s="167">
        <v>251</v>
      </c>
      <c r="P135" s="273"/>
      <c r="Q135" s="274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I135" s="273"/>
      <c r="AJ135" s="273"/>
      <c r="AK135" s="273"/>
      <c r="AL135" s="273"/>
      <c r="AM135" s="273"/>
      <c r="AN135" s="273"/>
      <c r="AO135" s="273"/>
    </row>
    <row r="136" spans="1:41" s="275" customFormat="1" ht="18" customHeight="1">
      <c r="A136" s="162"/>
      <c r="B136" s="171" t="s">
        <v>327</v>
      </c>
      <c r="C136" s="286"/>
      <c r="D136" s="132"/>
      <c r="E136" s="132"/>
      <c r="F136" s="132"/>
      <c r="G136" s="132"/>
      <c r="H136" s="132"/>
      <c r="I136" s="166"/>
      <c r="J136" s="166"/>
      <c r="K136" s="166"/>
      <c r="L136" s="166"/>
      <c r="M136" s="166"/>
      <c r="N136" s="166"/>
      <c r="O136" s="167"/>
      <c r="P136" s="273"/>
      <c r="Q136" s="274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I136" s="273"/>
      <c r="AJ136" s="273"/>
      <c r="AK136" s="273"/>
      <c r="AL136" s="273"/>
      <c r="AM136" s="273"/>
      <c r="AN136" s="273"/>
      <c r="AO136" s="273"/>
    </row>
    <row r="137" spans="1:41" s="285" customFormat="1" ht="18" customHeight="1">
      <c r="A137" s="276" t="s">
        <v>125</v>
      </c>
      <c r="B137" s="263" t="s">
        <v>180</v>
      </c>
      <c r="C137" s="282"/>
      <c r="D137" s="138">
        <f>SUM(D138:D140)</f>
        <v>4131.5491870000005</v>
      </c>
      <c r="E137" s="138">
        <f>SUM(E138:E140)</f>
        <v>0</v>
      </c>
      <c r="F137" s="138">
        <f>SUM(F138:F140)</f>
        <v>3629</v>
      </c>
      <c r="G137" s="138">
        <f>SUM(G138:G140)</f>
        <v>0</v>
      </c>
      <c r="H137" s="138">
        <f>SUM(H138:H140)</f>
        <v>3629</v>
      </c>
      <c r="I137" s="176"/>
      <c r="J137" s="176"/>
      <c r="K137" s="176"/>
      <c r="L137" s="176"/>
      <c r="M137" s="176"/>
      <c r="N137" s="176"/>
      <c r="O137" s="287">
        <f>O138+O139+O140</f>
        <v>1050</v>
      </c>
      <c r="P137" s="283"/>
      <c r="Q137" s="284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</row>
    <row r="138" spans="1:41" s="275" customFormat="1" ht="18" customHeight="1">
      <c r="A138" s="280"/>
      <c r="B138" s="171" t="s">
        <v>328</v>
      </c>
      <c r="C138" s="171"/>
      <c r="D138" s="132">
        <f>15.897201+51.9233+62.275+86.354+43.95+13.95+302.262527</f>
        <v>576.612028</v>
      </c>
      <c r="E138" s="132"/>
      <c r="F138" s="132">
        <v>425</v>
      </c>
      <c r="G138" s="132"/>
      <c r="H138" s="132">
        <f>E138+F138-G138</f>
        <v>425</v>
      </c>
      <c r="I138" s="166"/>
      <c r="J138" s="166"/>
      <c r="K138" s="166"/>
      <c r="L138" s="166"/>
      <c r="M138" s="166"/>
      <c r="N138" s="166"/>
      <c r="O138" s="167">
        <v>50</v>
      </c>
      <c r="P138" s="273"/>
      <c r="Q138" s="274"/>
      <c r="R138" s="273"/>
      <c r="S138" s="273"/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I138" s="273"/>
      <c r="AJ138" s="273"/>
      <c r="AK138" s="273"/>
      <c r="AL138" s="273"/>
      <c r="AM138" s="273"/>
      <c r="AN138" s="273"/>
      <c r="AO138" s="273"/>
    </row>
    <row r="139" spans="1:41" s="275" customFormat="1" ht="18" customHeight="1">
      <c r="A139" s="280"/>
      <c r="B139" s="171" t="s">
        <v>181</v>
      </c>
      <c r="C139" s="171"/>
      <c r="D139" s="132">
        <v>327.562527</v>
      </c>
      <c r="E139" s="132"/>
      <c r="F139" s="132">
        <v>100</v>
      </c>
      <c r="G139" s="132"/>
      <c r="H139" s="132">
        <f>E139+F139-G139</f>
        <v>100</v>
      </c>
      <c r="I139" s="166"/>
      <c r="J139" s="166"/>
      <c r="K139" s="166"/>
      <c r="L139" s="166"/>
      <c r="M139" s="166"/>
      <c r="N139" s="166"/>
      <c r="O139" s="167"/>
      <c r="P139" s="273"/>
      <c r="Q139" s="274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I139" s="273"/>
      <c r="AJ139" s="273"/>
      <c r="AK139" s="273"/>
      <c r="AL139" s="273"/>
      <c r="AM139" s="273"/>
      <c r="AN139" s="273"/>
      <c r="AO139" s="273"/>
    </row>
    <row r="140" spans="1:41" s="275" customFormat="1" ht="18" customHeight="1">
      <c r="A140" s="280"/>
      <c r="B140" s="171" t="s">
        <v>182</v>
      </c>
      <c r="C140" s="171"/>
      <c r="D140" s="288">
        <f>SUM(D141:D153)</f>
        <v>3227.374632</v>
      </c>
      <c r="E140" s="132">
        <f>SUM(E141:E154)</f>
        <v>0</v>
      </c>
      <c r="F140" s="132">
        <f>SUM(F141:F154)</f>
        <v>3104</v>
      </c>
      <c r="G140" s="132">
        <f>SUM(G141:G154)</f>
        <v>0</v>
      </c>
      <c r="H140" s="132">
        <f>SUM(H141:H154)</f>
        <v>3104</v>
      </c>
      <c r="I140" s="132">
        <f aca="true" t="shared" si="30" ref="I140:O140">SUM(I141:I154)</f>
        <v>0</v>
      </c>
      <c r="J140" s="132">
        <f t="shared" si="30"/>
        <v>0</v>
      </c>
      <c r="K140" s="132">
        <f t="shared" si="30"/>
        <v>0</v>
      </c>
      <c r="L140" s="132">
        <f t="shared" si="30"/>
        <v>0</v>
      </c>
      <c r="M140" s="132">
        <f t="shared" si="30"/>
        <v>0</v>
      </c>
      <c r="N140" s="132">
        <f t="shared" si="30"/>
        <v>0</v>
      </c>
      <c r="O140" s="132">
        <f t="shared" si="30"/>
        <v>1000</v>
      </c>
      <c r="P140" s="273"/>
      <c r="Q140" s="274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</row>
    <row r="141" spans="1:41" s="279" customFormat="1" ht="49.5" customHeight="1">
      <c r="A141" s="289"/>
      <c r="B141" s="290" t="s">
        <v>329</v>
      </c>
      <c r="C141" s="267"/>
      <c r="D141" s="245"/>
      <c r="E141" s="245"/>
      <c r="F141" s="245">
        <v>900</v>
      </c>
      <c r="G141" s="245"/>
      <c r="H141" s="245">
        <f>E141+F141-G141</f>
        <v>900</v>
      </c>
      <c r="I141" s="268"/>
      <c r="J141" s="268"/>
      <c r="K141" s="268"/>
      <c r="L141" s="268"/>
      <c r="M141" s="268"/>
      <c r="N141" s="268"/>
      <c r="O141" s="291"/>
      <c r="P141" s="277"/>
      <c r="Q141" s="278"/>
      <c r="R141" s="277"/>
      <c r="S141" s="277"/>
      <c r="T141" s="277"/>
      <c r="U141" s="277"/>
      <c r="V141" s="277"/>
      <c r="W141" s="277"/>
      <c r="X141" s="277"/>
      <c r="Y141" s="277"/>
      <c r="Z141" s="277"/>
      <c r="AA141" s="277"/>
      <c r="AB141" s="277"/>
      <c r="AC141" s="277"/>
      <c r="AD141" s="277"/>
      <c r="AE141" s="277"/>
      <c r="AF141" s="277"/>
      <c r="AG141" s="277"/>
      <c r="AH141" s="277"/>
      <c r="AI141" s="277"/>
      <c r="AJ141" s="277"/>
      <c r="AK141" s="277"/>
      <c r="AL141" s="277"/>
      <c r="AM141" s="277"/>
      <c r="AN141" s="277"/>
      <c r="AO141" s="277"/>
    </row>
    <row r="142" spans="1:41" s="279" customFormat="1" ht="18" customHeight="1">
      <c r="A142" s="289"/>
      <c r="B142" s="267" t="s">
        <v>330</v>
      </c>
      <c r="C142" s="267"/>
      <c r="D142" s="245"/>
      <c r="E142" s="245"/>
      <c r="F142" s="245">
        <f>100+1670+100</f>
        <v>1870</v>
      </c>
      <c r="G142" s="245"/>
      <c r="H142" s="245">
        <f aca="true" t="shared" si="31" ref="H142:H153">E142+F142-G142</f>
        <v>1870</v>
      </c>
      <c r="I142" s="268"/>
      <c r="J142" s="268"/>
      <c r="K142" s="268"/>
      <c r="L142" s="268"/>
      <c r="M142" s="268"/>
      <c r="N142" s="268"/>
      <c r="O142" s="291">
        <v>300</v>
      </c>
      <c r="P142" s="277"/>
      <c r="Q142" s="278"/>
      <c r="R142" s="277"/>
      <c r="S142" s="277"/>
      <c r="T142" s="277"/>
      <c r="U142" s="277"/>
      <c r="V142" s="277"/>
      <c r="W142" s="277"/>
      <c r="X142" s="277"/>
      <c r="Y142" s="277"/>
      <c r="Z142" s="277"/>
      <c r="AA142" s="277"/>
      <c r="AB142" s="277"/>
      <c r="AC142" s="277"/>
      <c r="AD142" s="277"/>
      <c r="AE142" s="277"/>
      <c r="AF142" s="277"/>
      <c r="AG142" s="277"/>
      <c r="AH142" s="277"/>
      <c r="AI142" s="277"/>
      <c r="AJ142" s="277"/>
      <c r="AK142" s="277"/>
      <c r="AL142" s="277"/>
      <c r="AM142" s="277"/>
      <c r="AN142" s="277"/>
      <c r="AO142" s="277"/>
    </row>
    <row r="143" spans="1:41" s="279" customFormat="1" ht="18" customHeight="1">
      <c r="A143" s="289"/>
      <c r="B143" s="267" t="s">
        <v>331</v>
      </c>
      <c r="C143" s="267"/>
      <c r="D143" s="245"/>
      <c r="E143" s="245"/>
      <c r="F143" s="245">
        <f>534-200</f>
        <v>334</v>
      </c>
      <c r="G143" s="245"/>
      <c r="H143" s="245">
        <f t="shared" si="31"/>
        <v>334</v>
      </c>
      <c r="I143" s="268"/>
      <c r="J143" s="268"/>
      <c r="K143" s="268"/>
      <c r="L143" s="268"/>
      <c r="M143" s="268"/>
      <c r="N143" s="268"/>
      <c r="O143" s="291"/>
      <c r="P143" s="277"/>
      <c r="Q143" s="278"/>
      <c r="R143" s="277"/>
      <c r="S143" s="277"/>
      <c r="T143" s="277"/>
      <c r="U143" s="277"/>
      <c r="V143" s="277"/>
      <c r="W143" s="277"/>
      <c r="X143" s="277"/>
      <c r="Y143" s="277"/>
      <c r="Z143" s="277"/>
      <c r="AA143" s="277"/>
      <c r="AB143" s="277"/>
      <c r="AC143" s="277"/>
      <c r="AD143" s="277"/>
      <c r="AE143" s="277"/>
      <c r="AF143" s="277"/>
      <c r="AG143" s="277"/>
      <c r="AH143" s="277"/>
      <c r="AI143" s="277"/>
      <c r="AJ143" s="277"/>
      <c r="AK143" s="277"/>
      <c r="AL143" s="277"/>
      <c r="AM143" s="277"/>
      <c r="AN143" s="277"/>
      <c r="AO143" s="277"/>
    </row>
    <row r="144" spans="1:41" s="279" customFormat="1" ht="18" customHeight="1">
      <c r="A144" s="289"/>
      <c r="B144" s="267" t="s">
        <v>332</v>
      </c>
      <c r="C144" s="267"/>
      <c r="D144" s="245"/>
      <c r="E144" s="245"/>
      <c r="F144" s="245"/>
      <c r="G144" s="245"/>
      <c r="H144" s="245"/>
      <c r="I144" s="268"/>
      <c r="J144" s="268"/>
      <c r="K144" s="268"/>
      <c r="L144" s="268"/>
      <c r="M144" s="268"/>
      <c r="N144" s="268"/>
      <c r="O144" s="291">
        <f>550+150</f>
        <v>700</v>
      </c>
      <c r="P144" s="277"/>
      <c r="Q144" s="278"/>
      <c r="R144" s="277"/>
      <c r="S144" s="277"/>
      <c r="T144" s="277"/>
      <c r="U144" s="277"/>
      <c r="V144" s="277"/>
      <c r="W144" s="277"/>
      <c r="X144" s="277"/>
      <c r="Y144" s="277"/>
      <c r="Z144" s="277"/>
      <c r="AA144" s="277"/>
      <c r="AB144" s="277"/>
      <c r="AC144" s="277"/>
      <c r="AD144" s="277"/>
      <c r="AE144" s="277"/>
      <c r="AF144" s="277"/>
      <c r="AG144" s="277"/>
      <c r="AH144" s="277"/>
      <c r="AI144" s="277"/>
      <c r="AJ144" s="277"/>
      <c r="AK144" s="277"/>
      <c r="AL144" s="277"/>
      <c r="AM144" s="277"/>
      <c r="AN144" s="277"/>
      <c r="AO144" s="277"/>
    </row>
    <row r="145" spans="1:41" s="279" customFormat="1" ht="49.5" customHeight="1" hidden="1">
      <c r="A145" s="289"/>
      <c r="B145" s="290" t="s">
        <v>333</v>
      </c>
      <c r="C145" s="267"/>
      <c r="D145" s="245"/>
      <c r="E145" s="245"/>
      <c r="F145" s="245"/>
      <c r="G145" s="245"/>
      <c r="H145" s="245">
        <f t="shared" si="31"/>
        <v>0</v>
      </c>
      <c r="I145" s="268"/>
      <c r="J145" s="268"/>
      <c r="K145" s="268"/>
      <c r="L145" s="268"/>
      <c r="M145" s="268"/>
      <c r="N145" s="268"/>
      <c r="O145" s="291"/>
      <c r="P145" s="277"/>
      <c r="Q145" s="278"/>
      <c r="R145" s="277"/>
      <c r="S145" s="277"/>
      <c r="T145" s="277"/>
      <c r="U145" s="277"/>
      <c r="V145" s="277"/>
      <c r="W145" s="277"/>
      <c r="X145" s="277"/>
      <c r="Y145" s="277"/>
      <c r="Z145" s="277"/>
      <c r="AA145" s="277"/>
      <c r="AB145" s="277"/>
      <c r="AC145" s="277"/>
      <c r="AD145" s="277"/>
      <c r="AE145" s="277"/>
      <c r="AF145" s="277"/>
      <c r="AG145" s="277"/>
      <c r="AH145" s="277"/>
      <c r="AI145" s="277"/>
      <c r="AJ145" s="277"/>
      <c r="AK145" s="277"/>
      <c r="AL145" s="277"/>
      <c r="AM145" s="277"/>
      <c r="AN145" s="277"/>
      <c r="AO145" s="277"/>
    </row>
    <row r="146" spans="1:41" s="279" customFormat="1" ht="30" customHeight="1" hidden="1">
      <c r="A146" s="289"/>
      <c r="B146" s="290" t="s">
        <v>334</v>
      </c>
      <c r="C146" s="267"/>
      <c r="D146" s="245"/>
      <c r="E146" s="245"/>
      <c r="F146" s="245"/>
      <c r="G146" s="245"/>
      <c r="H146" s="245">
        <f t="shared" si="31"/>
        <v>0</v>
      </c>
      <c r="I146" s="268"/>
      <c r="J146" s="268"/>
      <c r="K146" s="268"/>
      <c r="L146" s="268"/>
      <c r="M146" s="268"/>
      <c r="N146" s="268"/>
      <c r="O146" s="291"/>
      <c r="P146" s="277"/>
      <c r="Q146" s="278"/>
      <c r="R146" s="277"/>
      <c r="S146" s="277"/>
      <c r="T146" s="277"/>
      <c r="U146" s="277"/>
      <c r="V146" s="277"/>
      <c r="W146" s="277"/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277"/>
      <c r="AH146" s="277"/>
      <c r="AI146" s="277"/>
      <c r="AJ146" s="277"/>
      <c r="AK146" s="277"/>
      <c r="AL146" s="277"/>
      <c r="AM146" s="277"/>
      <c r="AN146" s="277"/>
      <c r="AO146" s="277"/>
    </row>
    <row r="147" spans="1:41" s="279" customFormat="1" ht="18" customHeight="1" hidden="1">
      <c r="A147" s="289"/>
      <c r="B147" s="267" t="s">
        <v>262</v>
      </c>
      <c r="C147" s="267"/>
      <c r="D147" s="245">
        <f>785.247032</f>
        <v>785.247032</v>
      </c>
      <c r="E147" s="245"/>
      <c r="F147" s="245"/>
      <c r="G147" s="245"/>
      <c r="H147" s="245">
        <f t="shared" si="31"/>
        <v>0</v>
      </c>
      <c r="I147" s="268"/>
      <c r="J147" s="268"/>
      <c r="K147" s="268"/>
      <c r="L147" s="268"/>
      <c r="M147" s="268"/>
      <c r="N147" s="268"/>
      <c r="O147" s="291"/>
      <c r="P147" s="277"/>
      <c r="Q147" s="278"/>
      <c r="R147" s="277"/>
      <c r="S147" s="277"/>
      <c r="T147" s="277"/>
      <c r="U147" s="277"/>
      <c r="V147" s="277"/>
      <c r="W147" s="277"/>
      <c r="X147" s="277"/>
      <c r="Y147" s="277"/>
      <c r="Z147" s="277"/>
      <c r="AA147" s="277"/>
      <c r="AB147" s="277"/>
      <c r="AC147" s="277"/>
      <c r="AD147" s="277"/>
      <c r="AE147" s="277"/>
      <c r="AF147" s="277"/>
      <c r="AG147" s="277"/>
      <c r="AH147" s="277"/>
      <c r="AI147" s="277"/>
      <c r="AJ147" s="277"/>
      <c r="AK147" s="277"/>
      <c r="AL147" s="277"/>
      <c r="AM147" s="277"/>
      <c r="AN147" s="277"/>
      <c r="AO147" s="277"/>
    </row>
    <row r="148" spans="1:41" s="279" customFormat="1" ht="18" customHeight="1" hidden="1">
      <c r="A148" s="289"/>
      <c r="B148" s="267" t="s">
        <v>263</v>
      </c>
      <c r="C148" s="267"/>
      <c r="D148" s="245"/>
      <c r="E148" s="245"/>
      <c r="F148" s="245"/>
      <c r="G148" s="245"/>
      <c r="H148" s="245">
        <f t="shared" si="31"/>
        <v>0</v>
      </c>
      <c r="I148" s="268"/>
      <c r="J148" s="268"/>
      <c r="K148" s="268"/>
      <c r="L148" s="268"/>
      <c r="M148" s="268"/>
      <c r="N148" s="268"/>
      <c r="O148" s="291"/>
      <c r="P148" s="277"/>
      <c r="Q148" s="278"/>
      <c r="R148" s="277"/>
      <c r="S148" s="277"/>
      <c r="T148" s="277"/>
      <c r="U148" s="277"/>
      <c r="V148" s="277"/>
      <c r="W148" s="277"/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277"/>
      <c r="AH148" s="277"/>
      <c r="AI148" s="277"/>
      <c r="AJ148" s="277"/>
      <c r="AK148" s="277"/>
      <c r="AL148" s="277"/>
      <c r="AM148" s="277"/>
      <c r="AN148" s="277"/>
      <c r="AO148" s="277"/>
    </row>
    <row r="149" spans="1:41" s="279" customFormat="1" ht="18" customHeight="1" hidden="1">
      <c r="A149" s="289"/>
      <c r="B149" s="267" t="s">
        <v>264</v>
      </c>
      <c r="C149" s="267"/>
      <c r="D149" s="245"/>
      <c r="E149" s="245"/>
      <c r="F149" s="245"/>
      <c r="G149" s="245"/>
      <c r="H149" s="245">
        <f t="shared" si="31"/>
        <v>0</v>
      </c>
      <c r="I149" s="268"/>
      <c r="J149" s="268"/>
      <c r="K149" s="268"/>
      <c r="L149" s="268"/>
      <c r="M149" s="268"/>
      <c r="N149" s="268"/>
      <c r="O149" s="291"/>
      <c r="P149" s="277"/>
      <c r="Q149" s="278"/>
      <c r="R149" s="277"/>
      <c r="S149" s="277"/>
      <c r="T149" s="277"/>
      <c r="U149" s="277"/>
      <c r="V149" s="277"/>
      <c r="W149" s="277"/>
      <c r="X149" s="277"/>
      <c r="Y149" s="277"/>
      <c r="Z149" s="277"/>
      <c r="AA149" s="277"/>
      <c r="AB149" s="277"/>
      <c r="AC149" s="277"/>
      <c r="AD149" s="277"/>
      <c r="AE149" s="277"/>
      <c r="AF149" s="277"/>
      <c r="AG149" s="277"/>
      <c r="AH149" s="277"/>
      <c r="AI149" s="277"/>
      <c r="AJ149" s="277"/>
      <c r="AK149" s="277"/>
      <c r="AL149" s="277"/>
      <c r="AM149" s="277"/>
      <c r="AN149" s="277"/>
      <c r="AO149" s="277"/>
    </row>
    <row r="150" spans="1:41" s="279" customFormat="1" ht="18" customHeight="1" hidden="1">
      <c r="A150" s="289"/>
      <c r="B150" s="267" t="s">
        <v>335</v>
      </c>
      <c r="C150" s="267"/>
      <c r="D150" s="245">
        <f>331.431</f>
        <v>331.431</v>
      </c>
      <c r="E150" s="245"/>
      <c r="F150" s="245"/>
      <c r="G150" s="245"/>
      <c r="H150" s="245">
        <f t="shared" si="31"/>
        <v>0</v>
      </c>
      <c r="I150" s="268"/>
      <c r="J150" s="268"/>
      <c r="K150" s="268"/>
      <c r="L150" s="268"/>
      <c r="M150" s="268"/>
      <c r="N150" s="268"/>
      <c r="O150" s="291"/>
      <c r="P150" s="277"/>
      <c r="Q150" s="278"/>
      <c r="R150" s="277"/>
      <c r="S150" s="277"/>
      <c r="T150" s="277"/>
      <c r="U150" s="277"/>
      <c r="V150" s="277"/>
      <c r="W150" s="277"/>
      <c r="X150" s="277"/>
      <c r="Y150" s="277"/>
      <c r="Z150" s="277"/>
      <c r="AA150" s="277"/>
      <c r="AB150" s="277"/>
      <c r="AC150" s="277"/>
      <c r="AD150" s="277"/>
      <c r="AE150" s="277"/>
      <c r="AF150" s="277"/>
      <c r="AG150" s="277"/>
      <c r="AH150" s="277"/>
      <c r="AI150" s="277"/>
      <c r="AJ150" s="277"/>
      <c r="AK150" s="277"/>
      <c r="AL150" s="277"/>
      <c r="AM150" s="277"/>
      <c r="AN150" s="277"/>
      <c r="AO150" s="277"/>
    </row>
    <row r="151" spans="1:41" s="279" customFormat="1" ht="18" customHeight="1" hidden="1">
      <c r="A151" s="289"/>
      <c r="B151" s="267" t="s">
        <v>265</v>
      </c>
      <c r="C151" s="267"/>
      <c r="D151" s="245">
        <v>2070.1966</v>
      </c>
      <c r="E151" s="245"/>
      <c r="F151" s="245"/>
      <c r="G151" s="245"/>
      <c r="H151" s="245">
        <f t="shared" si="31"/>
        <v>0</v>
      </c>
      <c r="I151" s="268"/>
      <c r="J151" s="268"/>
      <c r="K151" s="268"/>
      <c r="L151" s="268"/>
      <c r="M151" s="268"/>
      <c r="N151" s="268"/>
      <c r="O151" s="291"/>
      <c r="P151" s="277"/>
      <c r="Q151" s="278"/>
      <c r="R151" s="277"/>
      <c r="S151" s="277"/>
      <c r="T151" s="277"/>
      <c r="U151" s="277"/>
      <c r="V151" s="277"/>
      <c r="W151" s="277"/>
      <c r="X151" s="277"/>
      <c r="Y151" s="277"/>
      <c r="Z151" s="277"/>
      <c r="AA151" s="277"/>
      <c r="AB151" s="277"/>
      <c r="AC151" s="277"/>
      <c r="AD151" s="277"/>
      <c r="AE151" s="277"/>
      <c r="AF151" s="277"/>
      <c r="AG151" s="277"/>
      <c r="AH151" s="277"/>
      <c r="AI151" s="277"/>
      <c r="AJ151" s="277"/>
      <c r="AK151" s="277"/>
      <c r="AL151" s="277"/>
      <c r="AM151" s="277"/>
      <c r="AN151" s="277"/>
      <c r="AO151" s="277"/>
    </row>
    <row r="152" spans="1:41" s="279" customFormat="1" ht="18" customHeight="1" hidden="1">
      <c r="A152" s="289"/>
      <c r="B152" s="267" t="s">
        <v>266</v>
      </c>
      <c r="C152" s="267"/>
      <c r="D152" s="245"/>
      <c r="E152" s="245"/>
      <c r="F152" s="245"/>
      <c r="G152" s="245"/>
      <c r="H152" s="245">
        <f t="shared" si="31"/>
        <v>0</v>
      </c>
      <c r="I152" s="268"/>
      <c r="J152" s="268"/>
      <c r="K152" s="268"/>
      <c r="L152" s="268"/>
      <c r="M152" s="268"/>
      <c r="N152" s="268"/>
      <c r="O152" s="291"/>
      <c r="P152" s="277"/>
      <c r="Q152" s="278"/>
      <c r="R152" s="277"/>
      <c r="S152" s="277"/>
      <c r="T152" s="277"/>
      <c r="U152" s="277"/>
      <c r="V152" s="277"/>
      <c r="W152" s="277"/>
      <c r="X152" s="277"/>
      <c r="Y152" s="277"/>
      <c r="Z152" s="277"/>
      <c r="AA152" s="277"/>
      <c r="AB152" s="277"/>
      <c r="AC152" s="277"/>
      <c r="AD152" s="277"/>
      <c r="AE152" s="277"/>
      <c r="AF152" s="277"/>
      <c r="AG152" s="277"/>
      <c r="AH152" s="277"/>
      <c r="AI152" s="277"/>
      <c r="AJ152" s="277"/>
      <c r="AK152" s="277"/>
      <c r="AL152" s="277"/>
      <c r="AM152" s="277"/>
      <c r="AN152" s="277"/>
      <c r="AO152" s="277"/>
    </row>
    <row r="153" spans="1:41" s="279" customFormat="1" ht="18" customHeight="1" hidden="1">
      <c r="A153" s="289"/>
      <c r="B153" s="267" t="s">
        <v>183</v>
      </c>
      <c r="C153" s="267"/>
      <c r="D153" s="245">
        <f>40.5</f>
        <v>40.5</v>
      </c>
      <c r="E153" s="245"/>
      <c r="F153" s="245"/>
      <c r="G153" s="245"/>
      <c r="H153" s="245">
        <f t="shared" si="31"/>
        <v>0</v>
      </c>
      <c r="I153" s="268"/>
      <c r="J153" s="268"/>
      <c r="K153" s="268"/>
      <c r="L153" s="268"/>
      <c r="M153" s="268"/>
      <c r="N153" s="268"/>
      <c r="O153" s="291"/>
      <c r="P153" s="277"/>
      <c r="Q153" s="278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277"/>
      <c r="AH153" s="277"/>
      <c r="AI153" s="277"/>
      <c r="AJ153" s="277"/>
      <c r="AK153" s="277"/>
      <c r="AL153" s="277"/>
      <c r="AM153" s="277"/>
      <c r="AN153" s="277"/>
      <c r="AO153" s="277"/>
    </row>
    <row r="154" spans="1:41" s="275" customFormat="1" ht="18" customHeight="1" hidden="1">
      <c r="A154" s="280"/>
      <c r="B154" s="171"/>
      <c r="C154" s="286"/>
      <c r="D154" s="132"/>
      <c r="E154" s="132"/>
      <c r="F154" s="132"/>
      <c r="G154" s="132"/>
      <c r="H154" s="132"/>
      <c r="I154" s="166"/>
      <c r="J154" s="166"/>
      <c r="K154" s="166"/>
      <c r="L154" s="166"/>
      <c r="M154" s="166"/>
      <c r="N154" s="166"/>
      <c r="O154" s="167"/>
      <c r="P154" s="273"/>
      <c r="Q154" s="274"/>
      <c r="R154" s="273"/>
      <c r="S154" s="273"/>
      <c r="T154" s="273"/>
      <c r="U154" s="273"/>
      <c r="V154" s="273"/>
      <c r="W154" s="273"/>
      <c r="X154" s="273"/>
      <c r="Y154" s="273"/>
      <c r="Z154" s="273"/>
      <c r="AA154" s="273"/>
      <c r="AB154" s="273"/>
      <c r="AC154" s="273"/>
      <c r="AD154" s="273"/>
      <c r="AE154" s="273"/>
      <c r="AF154" s="273"/>
      <c r="AG154" s="273"/>
      <c r="AH154" s="273"/>
      <c r="AI154" s="273"/>
      <c r="AJ154" s="273"/>
      <c r="AK154" s="273"/>
      <c r="AL154" s="273"/>
      <c r="AM154" s="273"/>
      <c r="AN154" s="273"/>
      <c r="AO154" s="273"/>
    </row>
    <row r="155" spans="1:41" s="285" customFormat="1" ht="18" customHeight="1">
      <c r="A155" s="276" t="s">
        <v>89</v>
      </c>
      <c r="B155" s="281" t="s">
        <v>184</v>
      </c>
      <c r="C155" s="282"/>
      <c r="D155" s="138"/>
      <c r="E155" s="138"/>
      <c r="F155" s="138">
        <f>F51-F52-F60-F72</f>
        <v>335.33333333333576</v>
      </c>
      <c r="G155" s="138"/>
      <c r="H155" s="138">
        <f>E155+F155-G155</f>
        <v>335.33333333333576</v>
      </c>
      <c r="I155" s="138">
        <f aca="true" t="shared" si="32" ref="I155:N155">F155+G155-H155</f>
        <v>0</v>
      </c>
      <c r="J155" s="138">
        <f t="shared" si="32"/>
        <v>335.33333333333576</v>
      </c>
      <c r="K155" s="138">
        <f t="shared" si="32"/>
        <v>0</v>
      </c>
      <c r="L155" s="138">
        <f t="shared" si="32"/>
        <v>335.33333333333576</v>
      </c>
      <c r="M155" s="138">
        <f t="shared" si="32"/>
        <v>0</v>
      </c>
      <c r="N155" s="138">
        <f t="shared" si="32"/>
        <v>335.33333333333576</v>
      </c>
      <c r="O155" s="138">
        <f>O51-O52-O60-O72</f>
        <v>3308</v>
      </c>
      <c r="P155" s="283"/>
      <c r="Q155" s="284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</row>
    <row r="156" spans="1:41" s="218" customFormat="1" ht="18" customHeight="1">
      <c r="A156" s="173" t="s">
        <v>108</v>
      </c>
      <c r="B156" s="175" t="s">
        <v>185</v>
      </c>
      <c r="C156" s="292"/>
      <c r="D156" s="138">
        <f>SUM(D157:D163)</f>
        <v>3882.866869</v>
      </c>
      <c r="E156" s="138">
        <f aca="true" t="shared" si="33" ref="E156:N156">SUM(E157:E163)</f>
        <v>478.675459</v>
      </c>
      <c r="F156" s="138">
        <f>SUM(F157:F165)</f>
        <v>2336</v>
      </c>
      <c r="G156" s="138">
        <f t="shared" si="33"/>
        <v>0</v>
      </c>
      <c r="H156" s="138">
        <f>SUM(H157:H165)</f>
        <v>2814.675459</v>
      </c>
      <c r="I156" s="138">
        <f t="shared" si="33"/>
        <v>0</v>
      </c>
      <c r="J156" s="138">
        <f t="shared" si="33"/>
        <v>0</v>
      </c>
      <c r="K156" s="138">
        <f t="shared" si="33"/>
        <v>0</v>
      </c>
      <c r="L156" s="138">
        <f t="shared" si="33"/>
        <v>0</v>
      </c>
      <c r="M156" s="138">
        <f t="shared" si="33"/>
        <v>0</v>
      </c>
      <c r="N156" s="138">
        <f t="shared" si="33"/>
        <v>0</v>
      </c>
      <c r="O156" s="138">
        <f>SUM(O157:O165)</f>
        <v>2500</v>
      </c>
      <c r="P156" s="215"/>
      <c r="Q156" s="216"/>
      <c r="R156" s="215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</row>
    <row r="157" spans="1:41" s="275" customFormat="1" ht="18" customHeight="1">
      <c r="A157" s="162" t="s">
        <v>109</v>
      </c>
      <c r="B157" s="163" t="s">
        <v>186</v>
      </c>
      <c r="C157" s="202"/>
      <c r="D157" s="132">
        <f>322.236624+18.17+22.9632+182.2152+39.914542</f>
        <v>585.499566</v>
      </c>
      <c r="E157" s="132"/>
      <c r="F157" s="132">
        <v>606</v>
      </c>
      <c r="G157" s="132"/>
      <c r="H157" s="132">
        <f aca="true" t="shared" si="34" ref="H157:H165">E157+F157-G157</f>
        <v>606</v>
      </c>
      <c r="I157" s="166"/>
      <c r="J157" s="166"/>
      <c r="K157" s="166"/>
      <c r="L157" s="166"/>
      <c r="M157" s="166"/>
      <c r="N157" s="166"/>
      <c r="O157" s="167">
        <v>360</v>
      </c>
      <c r="P157" s="273"/>
      <c r="Q157" s="274"/>
      <c r="R157" s="273"/>
      <c r="S157" s="273"/>
      <c r="T157" s="273"/>
      <c r="U157" s="273"/>
      <c r="V157" s="273"/>
      <c r="W157" s="273"/>
      <c r="X157" s="273"/>
      <c r="Y157" s="273"/>
      <c r="Z157" s="273"/>
      <c r="AA157" s="273"/>
      <c r="AB157" s="273"/>
      <c r="AC157" s="273"/>
      <c r="AD157" s="273"/>
      <c r="AE157" s="273"/>
      <c r="AF157" s="273"/>
      <c r="AG157" s="273"/>
      <c r="AH157" s="273"/>
      <c r="AI157" s="273"/>
      <c r="AJ157" s="273"/>
      <c r="AK157" s="273"/>
      <c r="AL157" s="273"/>
      <c r="AM157" s="273"/>
      <c r="AN157" s="273"/>
      <c r="AO157" s="273"/>
    </row>
    <row r="158" spans="1:41" s="275" customFormat="1" ht="18" customHeight="1">
      <c r="A158" s="162" t="s">
        <v>111</v>
      </c>
      <c r="B158" s="171" t="s">
        <v>131</v>
      </c>
      <c r="C158" s="202"/>
      <c r="D158" s="132"/>
      <c r="E158" s="132"/>
      <c r="F158" s="132"/>
      <c r="G158" s="132"/>
      <c r="H158" s="132">
        <f t="shared" si="34"/>
        <v>0</v>
      </c>
      <c r="I158" s="166"/>
      <c r="J158" s="166"/>
      <c r="K158" s="166"/>
      <c r="L158" s="166"/>
      <c r="M158" s="166"/>
      <c r="N158" s="166"/>
      <c r="O158" s="167">
        <v>25</v>
      </c>
      <c r="P158" s="273"/>
      <c r="Q158" s="274"/>
      <c r="R158" s="273"/>
      <c r="S158" s="273"/>
      <c r="T158" s="273"/>
      <c r="U158" s="273"/>
      <c r="V158" s="273"/>
      <c r="W158" s="273"/>
      <c r="X158" s="273"/>
      <c r="Y158" s="273"/>
      <c r="Z158" s="273"/>
      <c r="AA158" s="273"/>
      <c r="AB158" s="273"/>
      <c r="AC158" s="273"/>
      <c r="AD158" s="273"/>
      <c r="AE158" s="273"/>
      <c r="AF158" s="273"/>
      <c r="AG158" s="273"/>
      <c r="AH158" s="273"/>
      <c r="AI158" s="273"/>
      <c r="AJ158" s="273"/>
      <c r="AK158" s="273"/>
      <c r="AL158" s="273"/>
      <c r="AM158" s="273"/>
      <c r="AN158" s="273"/>
      <c r="AO158" s="273"/>
    </row>
    <row r="159" spans="1:41" s="275" customFormat="1" ht="18" customHeight="1">
      <c r="A159" s="162" t="s">
        <v>187</v>
      </c>
      <c r="B159" s="171" t="s">
        <v>188</v>
      </c>
      <c r="C159" s="202"/>
      <c r="D159" s="132">
        <f>56.962674+9.759671+2.898703</f>
        <v>69.621048</v>
      </c>
      <c r="E159" s="132"/>
      <c r="F159" s="132">
        <v>70</v>
      </c>
      <c r="G159" s="132"/>
      <c r="H159" s="132">
        <f t="shared" si="34"/>
        <v>70</v>
      </c>
      <c r="I159" s="166"/>
      <c r="J159" s="166"/>
      <c r="K159" s="166"/>
      <c r="L159" s="166"/>
      <c r="M159" s="166"/>
      <c r="N159" s="166"/>
      <c r="O159" s="167"/>
      <c r="P159" s="273"/>
      <c r="Q159" s="274"/>
      <c r="R159" s="273"/>
      <c r="S159" s="273"/>
      <c r="T159" s="273"/>
      <c r="U159" s="273"/>
      <c r="V159" s="273"/>
      <c r="W159" s="273"/>
      <c r="X159" s="273"/>
      <c r="Y159" s="273"/>
      <c r="Z159" s="273"/>
      <c r="AA159" s="273"/>
      <c r="AB159" s="273"/>
      <c r="AC159" s="273"/>
      <c r="AD159" s="273"/>
      <c r="AE159" s="273"/>
      <c r="AF159" s="273"/>
      <c r="AG159" s="273"/>
      <c r="AH159" s="273"/>
      <c r="AI159" s="273"/>
      <c r="AJ159" s="273"/>
      <c r="AK159" s="273"/>
      <c r="AL159" s="273"/>
      <c r="AM159" s="273"/>
      <c r="AN159" s="273"/>
      <c r="AO159" s="273"/>
    </row>
    <row r="160" spans="1:41" s="275" customFormat="1" ht="33.75" customHeight="1">
      <c r="A160" s="162" t="s">
        <v>189</v>
      </c>
      <c r="B160" s="172" t="s">
        <v>190</v>
      </c>
      <c r="C160" s="202"/>
      <c r="D160" s="132">
        <f>1162.41+163.077+746.602+579.2+8.01+11.925</f>
        <v>2671.224</v>
      </c>
      <c r="E160" s="132">
        <v>478.675459</v>
      </c>
      <c r="F160" s="132">
        <f>2336-F157-F158-F159-F162-F163-F165</f>
        <v>1160</v>
      </c>
      <c r="G160" s="132"/>
      <c r="H160" s="132">
        <f t="shared" si="34"/>
        <v>1638.675459</v>
      </c>
      <c r="I160" s="166"/>
      <c r="J160" s="166"/>
      <c r="K160" s="166"/>
      <c r="L160" s="166"/>
      <c r="M160" s="166"/>
      <c r="N160" s="166"/>
      <c r="O160" s="167">
        <v>1400</v>
      </c>
      <c r="P160" s="273"/>
      <c r="Q160" s="274"/>
      <c r="R160" s="273"/>
      <c r="S160" s="273"/>
      <c r="T160" s="273"/>
      <c r="U160" s="273"/>
      <c r="V160" s="273"/>
      <c r="W160" s="273"/>
      <c r="X160" s="273"/>
      <c r="Y160" s="273"/>
      <c r="Z160" s="273"/>
      <c r="AA160" s="273"/>
      <c r="AB160" s="273"/>
      <c r="AC160" s="273"/>
      <c r="AD160" s="273"/>
      <c r="AE160" s="273"/>
      <c r="AF160" s="273"/>
      <c r="AG160" s="273"/>
      <c r="AH160" s="273"/>
      <c r="AI160" s="273"/>
      <c r="AJ160" s="273"/>
      <c r="AK160" s="273"/>
      <c r="AL160" s="273"/>
      <c r="AM160" s="273"/>
      <c r="AN160" s="273"/>
      <c r="AO160" s="273"/>
    </row>
    <row r="161" spans="1:41" s="275" customFormat="1" ht="18" customHeight="1" hidden="1">
      <c r="A161" s="162" t="s">
        <v>191</v>
      </c>
      <c r="B161" s="163" t="s">
        <v>251</v>
      </c>
      <c r="C161" s="202"/>
      <c r="D161" s="132"/>
      <c r="E161" s="132"/>
      <c r="F161" s="132">
        <f>F39</f>
        <v>0</v>
      </c>
      <c r="G161" s="132"/>
      <c r="H161" s="132">
        <f t="shared" si="34"/>
        <v>0</v>
      </c>
      <c r="I161" s="166"/>
      <c r="J161" s="166"/>
      <c r="K161" s="166"/>
      <c r="L161" s="166"/>
      <c r="M161" s="166"/>
      <c r="N161" s="166"/>
      <c r="O161" s="167"/>
      <c r="P161" s="273"/>
      <c r="Q161" s="274"/>
      <c r="R161" s="273"/>
      <c r="S161" s="273"/>
      <c r="T161" s="273"/>
      <c r="U161" s="273"/>
      <c r="V161" s="273"/>
      <c r="W161" s="273"/>
      <c r="X161" s="273"/>
      <c r="Y161" s="273"/>
      <c r="Z161" s="273"/>
      <c r="AA161" s="273"/>
      <c r="AB161" s="273"/>
      <c r="AC161" s="273"/>
      <c r="AD161" s="273"/>
      <c r="AE161" s="273"/>
      <c r="AF161" s="273"/>
      <c r="AG161" s="273"/>
      <c r="AH161" s="273"/>
      <c r="AI161" s="273"/>
      <c r="AJ161" s="273"/>
      <c r="AK161" s="273"/>
      <c r="AL161" s="273"/>
      <c r="AM161" s="273"/>
      <c r="AN161" s="273"/>
      <c r="AO161" s="273"/>
    </row>
    <row r="162" spans="1:41" s="275" customFormat="1" ht="18" customHeight="1">
      <c r="A162" s="162" t="s">
        <v>192</v>
      </c>
      <c r="B162" s="163" t="s">
        <v>267</v>
      </c>
      <c r="C162" s="202"/>
      <c r="D162" s="132">
        <f>324.69</f>
        <v>324.69</v>
      </c>
      <c r="E162" s="132"/>
      <c r="F162" s="132"/>
      <c r="G162" s="132"/>
      <c r="H162" s="132">
        <f t="shared" si="34"/>
        <v>0</v>
      </c>
      <c r="I162" s="166"/>
      <c r="J162" s="166"/>
      <c r="K162" s="166"/>
      <c r="L162" s="166"/>
      <c r="M162" s="166"/>
      <c r="N162" s="166"/>
      <c r="O162" s="167"/>
      <c r="P162" s="273"/>
      <c r="Q162" s="274"/>
      <c r="R162" s="273"/>
      <c r="S162" s="273"/>
      <c r="T162" s="273"/>
      <c r="U162" s="273"/>
      <c r="V162" s="273"/>
      <c r="W162" s="273"/>
      <c r="X162" s="273"/>
      <c r="Y162" s="273"/>
      <c r="Z162" s="273"/>
      <c r="AA162" s="273"/>
      <c r="AB162" s="273"/>
      <c r="AC162" s="273"/>
      <c r="AD162" s="273"/>
      <c r="AE162" s="273"/>
      <c r="AF162" s="273"/>
      <c r="AG162" s="273"/>
      <c r="AH162" s="273"/>
      <c r="AI162" s="273"/>
      <c r="AJ162" s="273"/>
      <c r="AK162" s="273"/>
      <c r="AL162" s="273"/>
      <c r="AM162" s="273"/>
      <c r="AN162" s="273"/>
      <c r="AO162" s="273"/>
    </row>
    <row r="163" spans="1:41" s="275" customFormat="1" ht="18" customHeight="1">
      <c r="A163" s="162" t="s">
        <v>268</v>
      </c>
      <c r="B163" s="171" t="s">
        <v>193</v>
      </c>
      <c r="C163" s="202"/>
      <c r="D163" s="132">
        <f>174.43569+16+6.80418+13.481385+21.111</f>
        <v>231.83225499999998</v>
      </c>
      <c r="E163" s="132"/>
      <c r="F163" s="132">
        <v>200</v>
      </c>
      <c r="G163" s="132"/>
      <c r="H163" s="132">
        <f t="shared" si="34"/>
        <v>200</v>
      </c>
      <c r="I163" s="166"/>
      <c r="J163" s="166"/>
      <c r="K163" s="166"/>
      <c r="L163" s="166"/>
      <c r="M163" s="166"/>
      <c r="N163" s="166"/>
      <c r="O163" s="167">
        <v>190</v>
      </c>
      <c r="P163" s="273"/>
      <c r="Q163" s="274"/>
      <c r="R163" s="273"/>
      <c r="S163" s="273"/>
      <c r="T163" s="273"/>
      <c r="U163" s="273"/>
      <c r="V163" s="273"/>
      <c r="W163" s="273"/>
      <c r="X163" s="273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  <c r="AJ163" s="273"/>
      <c r="AK163" s="273"/>
      <c r="AL163" s="273"/>
      <c r="AM163" s="273"/>
      <c r="AN163" s="273"/>
      <c r="AO163" s="273"/>
    </row>
    <row r="164" spans="1:41" s="275" customFormat="1" ht="18" customHeight="1">
      <c r="A164" s="162" t="s">
        <v>336</v>
      </c>
      <c r="B164" s="171" t="s">
        <v>337</v>
      </c>
      <c r="C164" s="202"/>
      <c r="D164" s="132"/>
      <c r="E164" s="132"/>
      <c r="F164" s="132"/>
      <c r="G164" s="132"/>
      <c r="H164" s="132"/>
      <c r="I164" s="166"/>
      <c r="J164" s="166"/>
      <c r="K164" s="166"/>
      <c r="L164" s="166"/>
      <c r="M164" s="166"/>
      <c r="N164" s="166"/>
      <c r="O164" s="167">
        <v>100</v>
      </c>
      <c r="P164" s="273"/>
      <c r="Q164" s="274"/>
      <c r="R164" s="273"/>
      <c r="S164" s="273"/>
      <c r="T164" s="273"/>
      <c r="U164" s="273"/>
      <c r="V164" s="273"/>
      <c r="W164" s="273"/>
      <c r="X164" s="273"/>
      <c r="Y164" s="273"/>
      <c r="Z164" s="273"/>
      <c r="AA164" s="273"/>
      <c r="AB164" s="273"/>
      <c r="AC164" s="273"/>
      <c r="AD164" s="273"/>
      <c r="AE164" s="273"/>
      <c r="AF164" s="273"/>
      <c r="AG164" s="273"/>
      <c r="AH164" s="273"/>
      <c r="AI164" s="273"/>
      <c r="AJ164" s="273"/>
      <c r="AK164" s="273"/>
      <c r="AL164" s="273"/>
      <c r="AM164" s="273"/>
      <c r="AN164" s="273"/>
      <c r="AO164" s="273"/>
    </row>
    <row r="165" spans="1:41" s="275" customFormat="1" ht="18" customHeight="1">
      <c r="A165" s="162" t="s">
        <v>338</v>
      </c>
      <c r="B165" s="293" t="s">
        <v>339</v>
      </c>
      <c r="C165" s="294"/>
      <c r="D165" s="295"/>
      <c r="E165" s="295"/>
      <c r="F165" s="295">
        <f>140+160</f>
        <v>300</v>
      </c>
      <c r="G165" s="295"/>
      <c r="H165" s="295">
        <f t="shared" si="34"/>
        <v>300</v>
      </c>
      <c r="I165" s="296"/>
      <c r="J165" s="296"/>
      <c r="K165" s="296"/>
      <c r="L165" s="296"/>
      <c r="M165" s="296"/>
      <c r="N165" s="296"/>
      <c r="O165" s="297">
        <f>(0.12+0.05)*2500</f>
        <v>424.99999999999994</v>
      </c>
      <c r="P165" s="273"/>
      <c r="Q165" s="274"/>
      <c r="R165" s="273"/>
      <c r="S165" s="273"/>
      <c r="T165" s="273"/>
      <c r="U165" s="273"/>
      <c r="V165" s="273"/>
      <c r="W165" s="273"/>
      <c r="X165" s="273"/>
      <c r="Y165" s="273"/>
      <c r="Z165" s="273"/>
      <c r="AA165" s="273"/>
      <c r="AB165" s="273"/>
      <c r="AC165" s="273"/>
      <c r="AD165" s="273"/>
      <c r="AE165" s="273"/>
      <c r="AF165" s="273"/>
      <c r="AG165" s="273"/>
      <c r="AH165" s="273"/>
      <c r="AI165" s="273"/>
      <c r="AJ165" s="273"/>
      <c r="AK165" s="273"/>
      <c r="AL165" s="273"/>
      <c r="AM165" s="273"/>
      <c r="AN165" s="273"/>
      <c r="AO165" s="273"/>
    </row>
    <row r="166" spans="1:41" s="218" customFormat="1" ht="18" customHeight="1">
      <c r="A166" s="213">
        <v>2</v>
      </c>
      <c r="B166" s="298" t="s">
        <v>194</v>
      </c>
      <c r="C166" s="188"/>
      <c r="D166" s="183">
        <f>SUM(D167:D168)</f>
        <v>21000</v>
      </c>
      <c r="E166" s="183">
        <f aca="true" t="shared" si="35" ref="E166:O166">SUM(E167:E168)</f>
        <v>0</v>
      </c>
      <c r="F166" s="183">
        <f t="shared" si="35"/>
        <v>8700</v>
      </c>
      <c r="G166" s="183">
        <f t="shared" si="35"/>
        <v>0</v>
      </c>
      <c r="H166" s="183">
        <f t="shared" si="35"/>
        <v>8700</v>
      </c>
      <c r="I166" s="183">
        <f t="shared" si="35"/>
        <v>0</v>
      </c>
      <c r="J166" s="183">
        <f t="shared" si="35"/>
        <v>0</v>
      </c>
      <c r="K166" s="183">
        <f t="shared" si="35"/>
        <v>0</v>
      </c>
      <c r="L166" s="183">
        <f t="shared" si="35"/>
        <v>0</v>
      </c>
      <c r="M166" s="183">
        <f t="shared" si="35"/>
        <v>0</v>
      </c>
      <c r="N166" s="183">
        <f t="shared" si="35"/>
        <v>0</v>
      </c>
      <c r="O166" s="183">
        <f t="shared" si="35"/>
        <v>0</v>
      </c>
      <c r="P166" s="217"/>
      <c r="Q166" s="216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</row>
    <row r="167" spans="1:41" s="275" customFormat="1" ht="18" customHeight="1">
      <c r="A167" s="299" t="s">
        <v>113</v>
      </c>
      <c r="B167" s="300" t="s">
        <v>269</v>
      </c>
      <c r="C167" s="300"/>
      <c r="D167" s="301">
        <v>14000</v>
      </c>
      <c r="E167" s="301"/>
      <c r="F167" s="301">
        <v>2000</v>
      </c>
      <c r="G167" s="301"/>
      <c r="H167" s="301">
        <f>E167+F167-G167</f>
        <v>2000</v>
      </c>
      <c r="I167" s="302"/>
      <c r="J167" s="302"/>
      <c r="K167" s="302"/>
      <c r="L167" s="302"/>
      <c r="M167" s="302"/>
      <c r="N167" s="302"/>
      <c r="O167" s="303"/>
      <c r="P167" s="273"/>
      <c r="Q167" s="274"/>
      <c r="R167" s="273"/>
      <c r="S167" s="273"/>
      <c r="T167" s="273"/>
      <c r="U167" s="273"/>
      <c r="V167" s="273"/>
      <c r="W167" s="273"/>
      <c r="X167" s="273"/>
      <c r="Y167" s="273"/>
      <c r="Z167" s="273"/>
      <c r="AA167" s="273"/>
      <c r="AB167" s="273"/>
      <c r="AC167" s="273"/>
      <c r="AD167" s="273"/>
      <c r="AE167" s="273"/>
      <c r="AF167" s="273"/>
      <c r="AG167" s="273"/>
      <c r="AH167" s="273"/>
      <c r="AI167" s="273"/>
      <c r="AJ167" s="273"/>
      <c r="AK167" s="273"/>
      <c r="AL167" s="273"/>
      <c r="AM167" s="273"/>
      <c r="AN167" s="273"/>
      <c r="AO167" s="273"/>
    </row>
    <row r="168" spans="1:41" s="275" customFormat="1" ht="18" customHeight="1">
      <c r="A168" s="304" t="s">
        <v>208</v>
      </c>
      <c r="B168" s="180" t="s">
        <v>270</v>
      </c>
      <c r="C168" s="180"/>
      <c r="D168" s="144">
        <v>7000</v>
      </c>
      <c r="E168" s="144"/>
      <c r="F168" s="144">
        <v>6700</v>
      </c>
      <c r="G168" s="144"/>
      <c r="H168" s="144">
        <f>E168+F168-G168</f>
        <v>6700</v>
      </c>
      <c r="I168" s="305"/>
      <c r="J168" s="305"/>
      <c r="K168" s="305"/>
      <c r="L168" s="305"/>
      <c r="M168" s="305"/>
      <c r="N168" s="305"/>
      <c r="O168" s="211"/>
      <c r="P168" s="273"/>
      <c r="Q168" s="274"/>
      <c r="R168" s="273"/>
      <c r="S168" s="273"/>
      <c r="T168" s="273"/>
      <c r="U168" s="273"/>
      <c r="V168" s="273"/>
      <c r="W168" s="273"/>
      <c r="X168" s="273"/>
      <c r="Y168" s="273"/>
      <c r="Z168" s="273"/>
      <c r="AA168" s="273"/>
      <c r="AB168" s="273"/>
      <c r="AC168" s="273"/>
      <c r="AD168" s="273"/>
      <c r="AE168" s="273"/>
      <c r="AF168" s="273"/>
      <c r="AG168" s="273"/>
      <c r="AH168" s="273"/>
      <c r="AI168" s="273"/>
      <c r="AJ168" s="273"/>
      <c r="AK168" s="273"/>
      <c r="AL168" s="273"/>
      <c r="AM168" s="273"/>
      <c r="AN168" s="273"/>
      <c r="AO168" s="273"/>
    </row>
    <row r="169" spans="1:41" s="218" customFormat="1" ht="18" customHeight="1">
      <c r="A169" s="181" t="s">
        <v>57</v>
      </c>
      <c r="B169" s="182" t="s">
        <v>114</v>
      </c>
      <c r="C169" s="188"/>
      <c r="D169" s="183">
        <f>D170</f>
        <v>580.5</v>
      </c>
      <c r="E169" s="183">
        <f aca="true" t="shared" si="36" ref="E169:O170">E170</f>
        <v>1445</v>
      </c>
      <c r="F169" s="183">
        <f t="shared" si="36"/>
        <v>890</v>
      </c>
      <c r="G169" s="183">
        <f t="shared" si="36"/>
        <v>0</v>
      </c>
      <c r="H169" s="183">
        <f t="shared" si="36"/>
        <v>2335</v>
      </c>
      <c r="I169" s="183">
        <f t="shared" si="36"/>
        <v>0</v>
      </c>
      <c r="J169" s="183">
        <f t="shared" si="36"/>
        <v>0</v>
      </c>
      <c r="K169" s="183">
        <f t="shared" si="36"/>
        <v>0</v>
      </c>
      <c r="L169" s="183">
        <f t="shared" si="36"/>
        <v>0</v>
      </c>
      <c r="M169" s="183">
        <f t="shared" si="36"/>
        <v>0</v>
      </c>
      <c r="N169" s="183">
        <f t="shared" si="36"/>
        <v>0</v>
      </c>
      <c r="O169" s="183">
        <f t="shared" si="36"/>
        <v>300</v>
      </c>
      <c r="P169" s="217"/>
      <c r="Q169" s="216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</row>
    <row r="170" spans="1:41" s="218" customFormat="1" ht="18" customHeight="1">
      <c r="A170" s="156">
        <v>1</v>
      </c>
      <c r="B170" s="157" t="s">
        <v>195</v>
      </c>
      <c r="C170" s="157"/>
      <c r="D170" s="126">
        <f>D171</f>
        <v>580.5</v>
      </c>
      <c r="E170" s="126">
        <f t="shared" si="36"/>
        <v>1445</v>
      </c>
      <c r="F170" s="126">
        <f>F171</f>
        <v>890</v>
      </c>
      <c r="G170" s="126">
        <f t="shared" si="36"/>
        <v>0</v>
      </c>
      <c r="H170" s="126">
        <f t="shared" si="36"/>
        <v>2335</v>
      </c>
      <c r="I170" s="126">
        <f t="shared" si="36"/>
        <v>0</v>
      </c>
      <c r="J170" s="126">
        <f t="shared" si="36"/>
        <v>0</v>
      </c>
      <c r="K170" s="126">
        <f t="shared" si="36"/>
        <v>0</v>
      </c>
      <c r="L170" s="126">
        <f t="shared" si="36"/>
        <v>0</v>
      </c>
      <c r="M170" s="126">
        <f t="shared" si="36"/>
        <v>0</v>
      </c>
      <c r="N170" s="126">
        <f t="shared" si="36"/>
        <v>0</v>
      </c>
      <c r="O170" s="126">
        <f t="shared" si="36"/>
        <v>300</v>
      </c>
      <c r="P170" s="217"/>
      <c r="Q170" s="216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</row>
    <row r="171" spans="1:41" s="218" customFormat="1" ht="18" customHeight="1">
      <c r="A171" s="173" t="s">
        <v>84</v>
      </c>
      <c r="B171" s="175" t="s">
        <v>196</v>
      </c>
      <c r="C171" s="175"/>
      <c r="D171" s="138">
        <f>D172+D173+D174+D175+D177</f>
        <v>580.5</v>
      </c>
      <c r="E171" s="138">
        <f aca="true" t="shared" si="37" ref="E171:N171">E172+E173+E174+E175+E177</f>
        <v>1445</v>
      </c>
      <c r="F171" s="138">
        <f>SUM(F172:F177)</f>
        <v>890</v>
      </c>
      <c r="G171" s="138">
        <f>SUM(G172:G177)</f>
        <v>0</v>
      </c>
      <c r="H171" s="138">
        <f>SUM(H172:H177)</f>
        <v>2335</v>
      </c>
      <c r="I171" s="138">
        <f t="shared" si="37"/>
        <v>0</v>
      </c>
      <c r="J171" s="138">
        <f t="shared" si="37"/>
        <v>0</v>
      </c>
      <c r="K171" s="138">
        <f t="shared" si="37"/>
        <v>0</v>
      </c>
      <c r="L171" s="138">
        <f t="shared" si="37"/>
        <v>0</v>
      </c>
      <c r="M171" s="138">
        <f t="shared" si="37"/>
        <v>0</v>
      </c>
      <c r="N171" s="138">
        <f t="shared" si="37"/>
        <v>0</v>
      </c>
      <c r="O171" s="138">
        <f>O172+O173+O176+O175+O177</f>
        <v>300</v>
      </c>
      <c r="P171" s="217"/>
      <c r="Q171" s="216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</row>
    <row r="172" spans="1:41" s="218" customFormat="1" ht="18" customHeight="1">
      <c r="A172" s="162" t="s">
        <v>84</v>
      </c>
      <c r="B172" s="163" t="s">
        <v>197</v>
      </c>
      <c r="C172" s="163"/>
      <c r="D172" s="132">
        <f>100.5</f>
        <v>100.5</v>
      </c>
      <c r="E172" s="132">
        <v>1235</v>
      </c>
      <c r="F172" s="132">
        <v>290</v>
      </c>
      <c r="G172" s="132"/>
      <c r="H172" s="132">
        <f aca="true" t="shared" si="38" ref="H172:H177">E172+F172-G172</f>
        <v>1525</v>
      </c>
      <c r="I172" s="166"/>
      <c r="J172" s="166"/>
      <c r="K172" s="166"/>
      <c r="L172" s="166"/>
      <c r="M172" s="166"/>
      <c r="N172" s="166"/>
      <c r="O172" s="287"/>
      <c r="P172" s="217"/>
      <c r="Q172" s="216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</row>
    <row r="173" spans="1:41" s="275" customFormat="1" ht="18" customHeight="1">
      <c r="A173" s="162" t="s">
        <v>108</v>
      </c>
      <c r="B173" s="163" t="s">
        <v>115</v>
      </c>
      <c r="C173" s="163"/>
      <c r="D173" s="132">
        <f>45+155</f>
        <v>200</v>
      </c>
      <c r="E173" s="132">
        <v>210</v>
      </c>
      <c r="F173" s="132">
        <v>150</v>
      </c>
      <c r="G173" s="132"/>
      <c r="H173" s="132">
        <f t="shared" si="38"/>
        <v>360</v>
      </c>
      <c r="I173" s="166"/>
      <c r="J173" s="166"/>
      <c r="K173" s="166"/>
      <c r="L173" s="166"/>
      <c r="M173" s="166"/>
      <c r="N173" s="166"/>
      <c r="O173" s="233"/>
      <c r="P173" s="273"/>
      <c r="Q173" s="274"/>
      <c r="R173" s="273"/>
      <c r="S173" s="273"/>
      <c r="T173" s="273"/>
      <c r="U173" s="273"/>
      <c r="V173" s="273"/>
      <c r="W173" s="273"/>
      <c r="X173" s="273"/>
      <c r="Y173" s="273"/>
      <c r="Z173" s="273"/>
      <c r="AA173" s="273"/>
      <c r="AB173" s="273"/>
      <c r="AC173" s="273"/>
      <c r="AD173" s="273"/>
      <c r="AE173" s="273"/>
      <c r="AF173" s="273"/>
      <c r="AG173" s="273"/>
      <c r="AH173" s="273"/>
      <c r="AI173" s="273"/>
      <c r="AJ173" s="273"/>
      <c r="AK173" s="273"/>
      <c r="AL173" s="273"/>
      <c r="AM173" s="273"/>
      <c r="AN173" s="273"/>
      <c r="AO173" s="273"/>
    </row>
    <row r="174" spans="1:41" s="275" customFormat="1" ht="18" customHeight="1">
      <c r="A174" s="162" t="s">
        <v>117</v>
      </c>
      <c r="B174" s="163" t="s">
        <v>340</v>
      </c>
      <c r="C174" s="163"/>
      <c r="D174" s="132">
        <f>140+80</f>
        <v>220</v>
      </c>
      <c r="E174" s="132"/>
      <c r="F174" s="132">
        <v>96</v>
      </c>
      <c r="G174" s="132"/>
      <c r="H174" s="132">
        <f t="shared" si="38"/>
        <v>96</v>
      </c>
      <c r="I174" s="166"/>
      <c r="J174" s="166"/>
      <c r="K174" s="166"/>
      <c r="L174" s="166"/>
      <c r="M174" s="166"/>
      <c r="N174" s="166"/>
      <c r="O174" s="233"/>
      <c r="P174" s="273"/>
      <c r="Q174" s="274"/>
      <c r="R174" s="273"/>
      <c r="S174" s="273"/>
      <c r="T174" s="273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3"/>
      <c r="AE174" s="273"/>
      <c r="AF174" s="273"/>
      <c r="AG174" s="273"/>
      <c r="AH174" s="273"/>
      <c r="AI174" s="273"/>
      <c r="AJ174" s="273"/>
      <c r="AK174" s="273"/>
      <c r="AL174" s="273"/>
      <c r="AM174" s="273"/>
      <c r="AN174" s="273"/>
      <c r="AO174" s="273"/>
    </row>
    <row r="175" spans="1:41" s="275" customFormat="1" ht="18" customHeight="1">
      <c r="A175" s="162" t="s">
        <v>198</v>
      </c>
      <c r="B175" s="163" t="s">
        <v>199</v>
      </c>
      <c r="C175" s="163"/>
      <c r="D175" s="132"/>
      <c r="E175" s="132"/>
      <c r="F175" s="132">
        <f>180+40</f>
        <v>220</v>
      </c>
      <c r="G175" s="132"/>
      <c r="H175" s="132">
        <f t="shared" si="38"/>
        <v>220</v>
      </c>
      <c r="I175" s="166"/>
      <c r="J175" s="166"/>
      <c r="K175" s="166"/>
      <c r="L175" s="166"/>
      <c r="M175" s="166"/>
      <c r="N175" s="166"/>
      <c r="O175" s="233"/>
      <c r="P175" s="273"/>
      <c r="Q175" s="274"/>
      <c r="R175" s="273"/>
      <c r="S175" s="273"/>
      <c r="T175" s="273"/>
      <c r="U175" s="273"/>
      <c r="V175" s="273"/>
      <c r="W175" s="273"/>
      <c r="X175" s="273"/>
      <c r="Y175" s="273"/>
      <c r="Z175" s="273"/>
      <c r="AA175" s="273"/>
      <c r="AB175" s="273"/>
      <c r="AC175" s="273"/>
      <c r="AD175" s="273"/>
      <c r="AE175" s="273"/>
      <c r="AF175" s="273"/>
      <c r="AG175" s="273"/>
      <c r="AH175" s="273"/>
      <c r="AI175" s="273"/>
      <c r="AJ175" s="273"/>
      <c r="AK175" s="273"/>
      <c r="AL175" s="273"/>
      <c r="AM175" s="273"/>
      <c r="AN175" s="273"/>
      <c r="AO175" s="273"/>
    </row>
    <row r="176" spans="1:41" s="275" customFormat="1" ht="18" customHeight="1">
      <c r="A176" s="162" t="s">
        <v>200</v>
      </c>
      <c r="B176" s="163" t="s">
        <v>341</v>
      </c>
      <c r="C176" s="180"/>
      <c r="D176" s="144"/>
      <c r="E176" s="144"/>
      <c r="F176" s="144">
        <f>24+30</f>
        <v>54</v>
      </c>
      <c r="G176" s="144"/>
      <c r="H176" s="144">
        <f t="shared" si="38"/>
        <v>54</v>
      </c>
      <c r="I176" s="305"/>
      <c r="J176" s="305"/>
      <c r="K176" s="305"/>
      <c r="L176" s="305"/>
      <c r="M176" s="305"/>
      <c r="N176" s="305"/>
      <c r="O176" s="306">
        <v>300</v>
      </c>
      <c r="P176" s="273"/>
      <c r="Q176" s="274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</row>
    <row r="177" spans="1:41" s="275" customFormat="1" ht="18" customHeight="1">
      <c r="A177" s="162" t="s">
        <v>342</v>
      </c>
      <c r="B177" s="180" t="s">
        <v>201</v>
      </c>
      <c r="C177" s="180"/>
      <c r="D177" s="144">
        <v>60</v>
      </c>
      <c r="E177" s="144"/>
      <c r="F177" s="144">
        <v>80</v>
      </c>
      <c r="G177" s="144"/>
      <c r="H177" s="144">
        <f t="shared" si="38"/>
        <v>80</v>
      </c>
      <c r="I177" s="305"/>
      <c r="J177" s="305"/>
      <c r="K177" s="305"/>
      <c r="L177" s="305"/>
      <c r="M177" s="305"/>
      <c r="N177" s="305"/>
      <c r="O177" s="306"/>
      <c r="P177" s="273"/>
      <c r="Q177" s="274"/>
      <c r="R177" s="273"/>
      <c r="S177" s="273"/>
      <c r="T177" s="273"/>
      <c r="U177" s="273"/>
      <c r="V177" s="273"/>
      <c r="W177" s="273"/>
      <c r="X177" s="273"/>
      <c r="Y177" s="273"/>
      <c r="Z177" s="273"/>
      <c r="AA177" s="273"/>
      <c r="AB177" s="273"/>
      <c r="AC177" s="273"/>
      <c r="AD177" s="273"/>
      <c r="AE177" s="273"/>
      <c r="AF177" s="273"/>
      <c r="AG177" s="273"/>
      <c r="AH177" s="273"/>
      <c r="AI177" s="273"/>
      <c r="AJ177" s="273"/>
      <c r="AK177" s="273"/>
      <c r="AL177" s="273"/>
      <c r="AM177" s="273"/>
      <c r="AN177" s="273"/>
      <c r="AO177" s="273"/>
    </row>
    <row r="178" spans="1:41" s="218" customFormat="1" ht="26.25" customHeight="1">
      <c r="A178" s="307" t="s">
        <v>119</v>
      </c>
      <c r="B178" s="308" t="s">
        <v>202</v>
      </c>
      <c r="C178" s="188"/>
      <c r="D178" s="190">
        <f>SUM(D179:D194)</f>
        <v>0</v>
      </c>
      <c r="E178" s="190">
        <f>SUM(E179:E194)</f>
        <v>0</v>
      </c>
      <c r="F178" s="190"/>
      <c r="G178" s="190"/>
      <c r="H178" s="190"/>
      <c r="I178" s="193"/>
      <c r="J178" s="193"/>
      <c r="K178" s="193"/>
      <c r="L178" s="193"/>
      <c r="M178" s="193"/>
      <c r="N178" s="193"/>
      <c r="O178" s="194"/>
      <c r="P178" s="217"/>
      <c r="Q178" s="216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</row>
    <row r="179" spans="1:41" s="275" customFormat="1" ht="31.5" hidden="1">
      <c r="A179" s="309" t="s">
        <v>84</v>
      </c>
      <c r="B179" s="310" t="s">
        <v>203</v>
      </c>
      <c r="C179" s="311"/>
      <c r="D179" s="312"/>
      <c r="E179" s="312"/>
      <c r="F179" s="312"/>
      <c r="G179" s="312"/>
      <c r="H179" s="312">
        <f aca="true" t="shared" si="39" ref="H179:H193">E179+F179-G179</f>
        <v>0</v>
      </c>
      <c r="I179" s="313"/>
      <c r="J179" s="313"/>
      <c r="K179" s="313"/>
      <c r="L179" s="313"/>
      <c r="M179" s="313"/>
      <c r="N179" s="313"/>
      <c r="O179" s="314"/>
      <c r="P179" s="273"/>
      <c r="Q179" s="274"/>
      <c r="R179" s="273"/>
      <c r="S179" s="273"/>
      <c r="T179" s="273"/>
      <c r="U179" s="273"/>
      <c r="V179" s="273"/>
      <c r="W179" s="273"/>
      <c r="X179" s="273"/>
      <c r="Y179" s="273"/>
      <c r="Z179" s="273"/>
      <c r="AA179" s="273"/>
      <c r="AB179" s="273"/>
      <c r="AC179" s="273"/>
      <c r="AD179" s="273"/>
      <c r="AE179" s="273"/>
      <c r="AF179" s="273"/>
      <c r="AG179" s="273"/>
      <c r="AH179" s="273"/>
      <c r="AI179" s="273"/>
      <c r="AJ179" s="273"/>
      <c r="AK179" s="273"/>
      <c r="AL179" s="273"/>
      <c r="AM179" s="273"/>
      <c r="AN179" s="273"/>
      <c r="AO179" s="273"/>
    </row>
    <row r="180" spans="1:41" s="275" customFormat="1" ht="63" hidden="1">
      <c r="A180" s="309" t="s">
        <v>108</v>
      </c>
      <c r="B180" s="310" t="s">
        <v>204</v>
      </c>
      <c r="C180" s="311"/>
      <c r="D180" s="312"/>
      <c r="E180" s="312"/>
      <c r="F180" s="312"/>
      <c r="G180" s="312"/>
      <c r="H180" s="312">
        <f t="shared" si="39"/>
        <v>0</v>
      </c>
      <c r="I180" s="313"/>
      <c r="J180" s="313"/>
      <c r="K180" s="313"/>
      <c r="L180" s="313"/>
      <c r="M180" s="313"/>
      <c r="N180" s="313"/>
      <c r="O180" s="314"/>
      <c r="P180" s="273"/>
      <c r="Q180" s="274"/>
      <c r="R180" s="273"/>
      <c r="S180" s="273"/>
      <c r="T180" s="273"/>
      <c r="U180" s="273"/>
      <c r="V180" s="273"/>
      <c r="W180" s="273"/>
      <c r="X180" s="273"/>
      <c r="Y180" s="273"/>
      <c r="Z180" s="273"/>
      <c r="AA180" s="273"/>
      <c r="AB180" s="273"/>
      <c r="AC180" s="273"/>
      <c r="AD180" s="273"/>
      <c r="AE180" s="273"/>
      <c r="AF180" s="273"/>
      <c r="AG180" s="273"/>
      <c r="AH180" s="273"/>
      <c r="AI180" s="273"/>
      <c r="AJ180" s="273"/>
      <c r="AK180" s="273"/>
      <c r="AL180" s="273"/>
      <c r="AM180" s="273"/>
      <c r="AN180" s="273"/>
      <c r="AO180" s="273"/>
    </row>
    <row r="181" spans="1:41" s="275" customFormat="1" ht="31.5" hidden="1">
      <c r="A181" s="309" t="s">
        <v>117</v>
      </c>
      <c r="B181" s="310" t="s">
        <v>205</v>
      </c>
      <c r="C181" s="311"/>
      <c r="D181" s="312"/>
      <c r="E181" s="312"/>
      <c r="F181" s="312"/>
      <c r="G181" s="312"/>
      <c r="H181" s="312">
        <f t="shared" si="39"/>
        <v>0</v>
      </c>
      <c r="I181" s="313"/>
      <c r="J181" s="313"/>
      <c r="K181" s="313"/>
      <c r="L181" s="313"/>
      <c r="M181" s="313"/>
      <c r="N181" s="313"/>
      <c r="O181" s="314"/>
      <c r="P181" s="273"/>
      <c r="Q181" s="274"/>
      <c r="R181" s="273"/>
      <c r="S181" s="273"/>
      <c r="T181" s="273"/>
      <c r="U181" s="273"/>
      <c r="V181" s="273"/>
      <c r="W181" s="273"/>
      <c r="X181" s="273"/>
      <c r="Y181" s="273"/>
      <c r="Z181" s="273"/>
      <c r="AA181" s="273"/>
      <c r="AB181" s="273"/>
      <c r="AC181" s="273"/>
      <c r="AD181" s="273"/>
      <c r="AE181" s="273"/>
      <c r="AF181" s="273"/>
      <c r="AG181" s="273"/>
      <c r="AH181" s="273"/>
      <c r="AI181" s="273"/>
      <c r="AJ181" s="273"/>
      <c r="AK181" s="273"/>
      <c r="AL181" s="273"/>
      <c r="AM181" s="273"/>
      <c r="AN181" s="273"/>
      <c r="AO181" s="273"/>
    </row>
    <row r="182" spans="1:41" s="275" customFormat="1" ht="31.5" hidden="1">
      <c r="A182" s="309" t="s">
        <v>198</v>
      </c>
      <c r="B182" s="310" t="s">
        <v>206</v>
      </c>
      <c r="C182" s="311"/>
      <c r="D182" s="312"/>
      <c r="E182" s="312"/>
      <c r="F182" s="312"/>
      <c r="G182" s="312"/>
      <c r="H182" s="312">
        <f t="shared" si="39"/>
        <v>0</v>
      </c>
      <c r="I182" s="313"/>
      <c r="J182" s="313"/>
      <c r="K182" s="313"/>
      <c r="L182" s="313"/>
      <c r="M182" s="313"/>
      <c r="N182" s="313"/>
      <c r="O182" s="314"/>
      <c r="P182" s="273"/>
      <c r="Q182" s="274"/>
      <c r="R182" s="273"/>
      <c r="S182" s="273"/>
      <c r="T182" s="273"/>
      <c r="U182" s="273"/>
      <c r="V182" s="273"/>
      <c r="W182" s="273"/>
      <c r="X182" s="273"/>
      <c r="Y182" s="273"/>
      <c r="Z182" s="273"/>
      <c r="AA182" s="273"/>
      <c r="AB182" s="273"/>
      <c r="AC182" s="273"/>
      <c r="AD182" s="273"/>
      <c r="AE182" s="273"/>
      <c r="AF182" s="273"/>
      <c r="AG182" s="273"/>
      <c r="AH182" s="273"/>
      <c r="AI182" s="273"/>
      <c r="AJ182" s="273"/>
      <c r="AK182" s="273"/>
      <c r="AL182" s="273"/>
      <c r="AM182" s="273"/>
      <c r="AN182" s="273"/>
      <c r="AO182" s="273"/>
    </row>
    <row r="183" spans="1:41" s="275" customFormat="1" ht="63" hidden="1">
      <c r="A183" s="309" t="s">
        <v>200</v>
      </c>
      <c r="B183" s="310" t="s">
        <v>207</v>
      </c>
      <c r="C183" s="311"/>
      <c r="D183" s="312"/>
      <c r="E183" s="312"/>
      <c r="F183" s="312"/>
      <c r="G183" s="312"/>
      <c r="H183" s="312">
        <f t="shared" si="39"/>
        <v>0</v>
      </c>
      <c r="I183" s="313"/>
      <c r="J183" s="313"/>
      <c r="K183" s="313"/>
      <c r="L183" s="313"/>
      <c r="M183" s="313"/>
      <c r="N183" s="313"/>
      <c r="O183" s="314"/>
      <c r="P183" s="273"/>
      <c r="Q183" s="274"/>
      <c r="R183" s="273"/>
      <c r="S183" s="273"/>
      <c r="T183" s="273"/>
      <c r="U183" s="273"/>
      <c r="V183" s="273"/>
      <c r="W183" s="273"/>
      <c r="X183" s="273"/>
      <c r="Y183" s="273"/>
      <c r="Z183" s="273"/>
      <c r="AA183" s="273"/>
      <c r="AB183" s="273"/>
      <c r="AC183" s="273"/>
      <c r="AD183" s="273"/>
      <c r="AE183" s="273"/>
      <c r="AF183" s="273"/>
      <c r="AG183" s="273"/>
      <c r="AH183" s="273"/>
      <c r="AI183" s="273"/>
      <c r="AJ183" s="273"/>
      <c r="AK183" s="273"/>
      <c r="AL183" s="273"/>
      <c r="AM183" s="273"/>
      <c r="AN183" s="273"/>
      <c r="AO183" s="273"/>
    </row>
    <row r="184" spans="1:41" s="275" customFormat="1" ht="31.5" hidden="1">
      <c r="A184" s="309" t="s">
        <v>113</v>
      </c>
      <c r="B184" s="310" t="s">
        <v>271</v>
      </c>
      <c r="C184" s="311"/>
      <c r="D184" s="312"/>
      <c r="E184" s="312"/>
      <c r="F184" s="312"/>
      <c r="G184" s="312"/>
      <c r="H184" s="312">
        <f t="shared" si="39"/>
        <v>0</v>
      </c>
      <c r="I184" s="313"/>
      <c r="J184" s="313"/>
      <c r="K184" s="313"/>
      <c r="L184" s="313"/>
      <c r="M184" s="313"/>
      <c r="N184" s="313"/>
      <c r="O184" s="314"/>
      <c r="P184" s="273"/>
      <c r="Q184" s="274"/>
      <c r="R184" s="273"/>
      <c r="S184" s="273"/>
      <c r="T184" s="273"/>
      <c r="U184" s="273"/>
      <c r="V184" s="273"/>
      <c r="W184" s="273"/>
      <c r="X184" s="273"/>
      <c r="Y184" s="273"/>
      <c r="Z184" s="273"/>
      <c r="AA184" s="273"/>
      <c r="AB184" s="273"/>
      <c r="AC184" s="273"/>
      <c r="AD184" s="273"/>
      <c r="AE184" s="273"/>
      <c r="AF184" s="273"/>
      <c r="AG184" s="273"/>
      <c r="AH184" s="273"/>
      <c r="AI184" s="273"/>
      <c r="AJ184" s="273"/>
      <c r="AK184" s="273"/>
      <c r="AL184" s="273"/>
      <c r="AM184" s="273"/>
      <c r="AN184" s="273"/>
      <c r="AO184" s="273"/>
    </row>
    <row r="185" spans="1:41" s="275" customFormat="1" ht="18" customHeight="1" hidden="1">
      <c r="A185" s="309" t="s">
        <v>208</v>
      </c>
      <c r="B185" s="310" t="s">
        <v>209</v>
      </c>
      <c r="C185" s="311"/>
      <c r="D185" s="312"/>
      <c r="E185" s="312"/>
      <c r="F185" s="312"/>
      <c r="G185" s="312"/>
      <c r="H185" s="312">
        <f t="shared" si="39"/>
        <v>0</v>
      </c>
      <c r="I185" s="313"/>
      <c r="J185" s="313"/>
      <c r="K185" s="313"/>
      <c r="L185" s="313"/>
      <c r="M185" s="313"/>
      <c r="N185" s="313"/>
      <c r="O185" s="314"/>
      <c r="P185" s="273"/>
      <c r="Q185" s="274"/>
      <c r="R185" s="273"/>
      <c r="S185" s="273"/>
      <c r="T185" s="273"/>
      <c r="U185" s="273"/>
      <c r="V185" s="273"/>
      <c r="W185" s="273"/>
      <c r="X185" s="273"/>
      <c r="Y185" s="273"/>
      <c r="Z185" s="273"/>
      <c r="AA185" s="273"/>
      <c r="AB185" s="273"/>
      <c r="AC185" s="273"/>
      <c r="AD185" s="273"/>
      <c r="AE185" s="273"/>
      <c r="AF185" s="273"/>
      <c r="AG185" s="273"/>
      <c r="AH185" s="273"/>
      <c r="AI185" s="273"/>
      <c r="AJ185" s="273"/>
      <c r="AK185" s="273"/>
      <c r="AL185" s="273"/>
      <c r="AM185" s="273"/>
      <c r="AN185" s="273"/>
      <c r="AO185" s="273"/>
    </row>
    <row r="186" spans="1:41" s="275" customFormat="1" ht="31.5" hidden="1">
      <c r="A186" s="309" t="s">
        <v>210</v>
      </c>
      <c r="B186" s="310" t="s">
        <v>211</v>
      </c>
      <c r="C186" s="311"/>
      <c r="D186" s="312"/>
      <c r="E186" s="312"/>
      <c r="F186" s="312"/>
      <c r="G186" s="312"/>
      <c r="H186" s="312">
        <f t="shared" si="39"/>
        <v>0</v>
      </c>
      <c r="I186" s="313"/>
      <c r="J186" s="313"/>
      <c r="K186" s="313"/>
      <c r="L186" s="313"/>
      <c r="M186" s="313"/>
      <c r="N186" s="313"/>
      <c r="O186" s="314"/>
      <c r="P186" s="273"/>
      <c r="Q186" s="274"/>
      <c r="R186" s="273"/>
      <c r="S186" s="273"/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3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</row>
    <row r="187" spans="1:41" s="275" customFormat="1" ht="47.25" hidden="1">
      <c r="A187" s="309" t="s">
        <v>212</v>
      </c>
      <c r="B187" s="310" t="s">
        <v>213</v>
      </c>
      <c r="C187" s="311"/>
      <c r="D187" s="312"/>
      <c r="E187" s="312"/>
      <c r="F187" s="312"/>
      <c r="G187" s="312"/>
      <c r="H187" s="312">
        <f t="shared" si="39"/>
        <v>0</v>
      </c>
      <c r="I187" s="313"/>
      <c r="J187" s="313"/>
      <c r="K187" s="313"/>
      <c r="L187" s="313"/>
      <c r="M187" s="313"/>
      <c r="N187" s="313"/>
      <c r="O187" s="314"/>
      <c r="P187" s="273"/>
      <c r="Q187" s="274"/>
      <c r="R187" s="273"/>
      <c r="S187" s="273"/>
      <c r="T187" s="273"/>
      <c r="U187" s="273"/>
      <c r="V187" s="273"/>
      <c r="W187" s="273"/>
      <c r="X187" s="273"/>
      <c r="Y187" s="273"/>
      <c r="Z187" s="273"/>
      <c r="AA187" s="273"/>
      <c r="AB187" s="273"/>
      <c r="AC187" s="273"/>
      <c r="AD187" s="273"/>
      <c r="AE187" s="273"/>
      <c r="AF187" s="273"/>
      <c r="AG187" s="273"/>
      <c r="AH187" s="273"/>
      <c r="AI187" s="273"/>
      <c r="AJ187" s="273"/>
      <c r="AK187" s="273"/>
      <c r="AL187" s="273"/>
      <c r="AM187" s="273"/>
      <c r="AN187" s="273"/>
      <c r="AO187" s="273"/>
    </row>
    <row r="188" spans="1:41" s="275" customFormat="1" ht="47.25" hidden="1">
      <c r="A188" s="309" t="s">
        <v>214</v>
      </c>
      <c r="B188" s="310" t="s">
        <v>215</v>
      </c>
      <c r="C188" s="311"/>
      <c r="D188" s="312"/>
      <c r="E188" s="312"/>
      <c r="F188" s="312"/>
      <c r="G188" s="312"/>
      <c r="H188" s="312">
        <f t="shared" si="39"/>
        <v>0</v>
      </c>
      <c r="I188" s="313"/>
      <c r="J188" s="313"/>
      <c r="K188" s="313"/>
      <c r="L188" s="313"/>
      <c r="M188" s="313"/>
      <c r="N188" s="313"/>
      <c r="O188" s="314"/>
      <c r="P188" s="273"/>
      <c r="Q188" s="274"/>
      <c r="R188" s="273"/>
      <c r="S188" s="273"/>
      <c r="T188" s="273"/>
      <c r="U188" s="273"/>
      <c r="V188" s="273"/>
      <c r="W188" s="273"/>
      <c r="X188" s="273"/>
      <c r="Y188" s="273"/>
      <c r="Z188" s="273"/>
      <c r="AA188" s="273"/>
      <c r="AB188" s="273"/>
      <c r="AC188" s="273"/>
      <c r="AD188" s="273"/>
      <c r="AE188" s="273"/>
      <c r="AF188" s="273"/>
      <c r="AG188" s="273"/>
      <c r="AH188" s="273"/>
      <c r="AI188" s="273"/>
      <c r="AJ188" s="273"/>
      <c r="AK188" s="273"/>
      <c r="AL188" s="273"/>
      <c r="AM188" s="273"/>
      <c r="AN188" s="273"/>
      <c r="AO188" s="273"/>
    </row>
    <row r="189" spans="1:41" s="170" customFormat="1" ht="31.5" hidden="1">
      <c r="A189" s="315" t="s">
        <v>216</v>
      </c>
      <c r="B189" s="316" t="s">
        <v>217</v>
      </c>
      <c r="C189" s="317"/>
      <c r="D189" s="318"/>
      <c r="E189" s="318"/>
      <c r="F189" s="312"/>
      <c r="G189" s="312"/>
      <c r="H189" s="312">
        <f t="shared" si="39"/>
        <v>0</v>
      </c>
      <c r="I189" s="313"/>
      <c r="J189" s="313"/>
      <c r="K189" s="313"/>
      <c r="L189" s="313"/>
      <c r="M189" s="313"/>
      <c r="N189" s="313"/>
      <c r="O189" s="314"/>
      <c r="P189" s="273"/>
      <c r="Q189" s="274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168"/>
      <c r="AK189" s="168"/>
      <c r="AL189" s="168"/>
      <c r="AM189" s="168"/>
      <c r="AN189" s="168"/>
      <c r="AO189" s="168"/>
    </row>
    <row r="190" spans="1:41" s="170" customFormat="1" ht="31.5" customHeight="1" hidden="1">
      <c r="A190" s="315" t="s">
        <v>218</v>
      </c>
      <c r="B190" s="316" t="s">
        <v>219</v>
      </c>
      <c r="C190" s="317"/>
      <c r="D190" s="318"/>
      <c r="E190" s="318"/>
      <c r="F190" s="312"/>
      <c r="G190" s="312"/>
      <c r="H190" s="312">
        <f t="shared" si="39"/>
        <v>0</v>
      </c>
      <c r="I190" s="313"/>
      <c r="J190" s="313"/>
      <c r="K190" s="313"/>
      <c r="L190" s="313"/>
      <c r="M190" s="313"/>
      <c r="N190" s="313"/>
      <c r="O190" s="314"/>
      <c r="P190" s="273"/>
      <c r="Q190" s="274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68"/>
      <c r="AF190" s="168"/>
      <c r="AG190" s="168"/>
      <c r="AH190" s="168"/>
      <c r="AI190" s="168"/>
      <c r="AJ190" s="168"/>
      <c r="AK190" s="168"/>
      <c r="AL190" s="168"/>
      <c r="AM190" s="168"/>
      <c r="AN190" s="168"/>
      <c r="AO190" s="168"/>
    </row>
    <row r="191" spans="1:41" s="170" customFormat="1" ht="31.5" hidden="1">
      <c r="A191" s="315" t="s">
        <v>220</v>
      </c>
      <c r="B191" s="316" t="s">
        <v>221</v>
      </c>
      <c r="C191" s="317"/>
      <c r="D191" s="318"/>
      <c r="E191" s="318"/>
      <c r="F191" s="312"/>
      <c r="G191" s="312"/>
      <c r="H191" s="312">
        <f t="shared" si="39"/>
        <v>0</v>
      </c>
      <c r="I191" s="313"/>
      <c r="J191" s="313"/>
      <c r="K191" s="313"/>
      <c r="L191" s="313"/>
      <c r="M191" s="313"/>
      <c r="N191" s="313"/>
      <c r="O191" s="314"/>
      <c r="P191" s="273"/>
      <c r="Q191" s="274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  <c r="AL191" s="168"/>
      <c r="AM191" s="168"/>
      <c r="AN191" s="168"/>
      <c r="AO191" s="168"/>
    </row>
    <row r="192" spans="1:41" s="170" customFormat="1" ht="33" customHeight="1" hidden="1">
      <c r="A192" s="315" t="s">
        <v>222</v>
      </c>
      <c r="B192" s="316" t="s">
        <v>223</v>
      </c>
      <c r="C192" s="317"/>
      <c r="D192" s="318"/>
      <c r="E192" s="318"/>
      <c r="F192" s="312"/>
      <c r="G192" s="312"/>
      <c r="H192" s="312">
        <f t="shared" si="39"/>
        <v>0</v>
      </c>
      <c r="I192" s="313"/>
      <c r="J192" s="313"/>
      <c r="K192" s="313"/>
      <c r="L192" s="313"/>
      <c r="M192" s="313"/>
      <c r="N192" s="313"/>
      <c r="O192" s="314"/>
      <c r="P192" s="273"/>
      <c r="Q192" s="274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  <c r="AM192" s="168"/>
      <c r="AN192" s="168"/>
      <c r="AO192" s="168"/>
    </row>
    <row r="193" spans="1:41" s="170" customFormat="1" ht="36" customHeight="1" hidden="1">
      <c r="A193" s="315" t="s">
        <v>224</v>
      </c>
      <c r="B193" s="316" t="s">
        <v>225</v>
      </c>
      <c r="C193" s="317"/>
      <c r="D193" s="318"/>
      <c r="E193" s="318"/>
      <c r="F193" s="312"/>
      <c r="G193" s="312"/>
      <c r="H193" s="312">
        <f t="shared" si="39"/>
        <v>0</v>
      </c>
      <c r="I193" s="313"/>
      <c r="J193" s="313"/>
      <c r="K193" s="313"/>
      <c r="L193" s="313"/>
      <c r="M193" s="313"/>
      <c r="N193" s="313"/>
      <c r="O193" s="314"/>
      <c r="P193" s="273"/>
      <c r="Q193" s="274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8"/>
      <c r="AL193" s="168"/>
      <c r="AM193" s="168"/>
      <c r="AN193" s="168"/>
      <c r="AO193" s="168"/>
    </row>
    <row r="194" spans="1:41" s="170" customFormat="1" ht="23.25" customHeight="1">
      <c r="A194" s="319"/>
      <c r="B194" s="320"/>
      <c r="C194" s="321"/>
      <c r="D194" s="322"/>
      <c r="E194" s="322"/>
      <c r="F194" s="323"/>
      <c r="G194" s="323"/>
      <c r="H194" s="323"/>
      <c r="I194" s="324"/>
      <c r="J194" s="324"/>
      <c r="K194" s="324"/>
      <c r="L194" s="324"/>
      <c r="M194" s="324"/>
      <c r="N194" s="324"/>
      <c r="O194" s="325"/>
      <c r="P194" s="273"/>
      <c r="Q194" s="274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8"/>
    </row>
    <row r="195" spans="1:41" s="135" customFormat="1" ht="23.25" customHeight="1">
      <c r="A195" s="326"/>
      <c r="B195" s="327"/>
      <c r="C195" s="328"/>
      <c r="D195" s="329"/>
      <c r="E195" s="330" t="s">
        <v>343</v>
      </c>
      <c r="F195" s="331"/>
      <c r="G195" s="332"/>
      <c r="H195" s="333"/>
      <c r="I195" s="334"/>
      <c r="J195" s="334"/>
      <c r="K195" s="334"/>
      <c r="L195" s="334"/>
      <c r="M195" s="334"/>
      <c r="N195" s="334"/>
      <c r="O195" s="335"/>
      <c r="P195" s="336"/>
      <c r="Q195" s="337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</row>
    <row r="196" spans="1:41" s="135" customFormat="1" ht="18" customHeight="1">
      <c r="A196" s="326"/>
      <c r="B196" s="327"/>
      <c r="C196" s="328"/>
      <c r="D196" s="329"/>
      <c r="E196" s="338"/>
      <c r="F196" s="339" t="s">
        <v>344</v>
      </c>
      <c r="G196" s="340"/>
      <c r="H196" s="341"/>
      <c r="I196" s="342"/>
      <c r="J196" s="342"/>
      <c r="K196" s="342"/>
      <c r="L196" s="342"/>
      <c r="M196" s="342"/>
      <c r="N196" s="342"/>
      <c r="O196" s="343"/>
      <c r="P196" s="336"/>
      <c r="Q196" s="337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</row>
    <row r="197" spans="1:41" s="135" customFormat="1" ht="18" customHeight="1">
      <c r="A197" s="326"/>
      <c r="B197" s="327"/>
      <c r="C197" s="328"/>
      <c r="D197" s="329"/>
      <c r="E197" s="344"/>
      <c r="F197" s="345"/>
      <c r="G197" s="346"/>
      <c r="H197" s="346"/>
      <c r="I197" s="347"/>
      <c r="J197" s="347"/>
      <c r="K197" s="347"/>
      <c r="L197" s="347"/>
      <c r="M197" s="347"/>
      <c r="N197" s="347"/>
      <c r="O197" s="348"/>
      <c r="P197" s="336"/>
      <c r="Q197" s="337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</row>
    <row r="198" spans="1:41" s="135" customFormat="1" ht="18" customHeight="1">
      <c r="A198" s="326"/>
      <c r="B198" s="327"/>
      <c r="C198" s="328"/>
      <c r="D198" s="329"/>
      <c r="E198" s="344"/>
      <c r="F198" s="349"/>
      <c r="G198" s="346"/>
      <c r="H198" s="346"/>
      <c r="I198" s="347"/>
      <c r="J198" s="347"/>
      <c r="K198" s="347"/>
      <c r="L198" s="347"/>
      <c r="M198" s="347"/>
      <c r="N198" s="347"/>
      <c r="O198" s="348"/>
      <c r="P198" s="336"/>
      <c r="Q198" s="337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</row>
    <row r="199" spans="1:41" s="135" customFormat="1" ht="18" customHeight="1">
      <c r="A199" s="326"/>
      <c r="B199" s="327"/>
      <c r="C199" s="328"/>
      <c r="D199" s="329"/>
      <c r="E199" s="344"/>
      <c r="F199" s="275"/>
      <c r="G199" s="350"/>
      <c r="H199" s="346"/>
      <c r="I199" s="347"/>
      <c r="J199" s="347"/>
      <c r="K199" s="347"/>
      <c r="L199" s="347"/>
      <c r="M199" s="347"/>
      <c r="N199" s="347"/>
      <c r="O199" s="348"/>
      <c r="P199" s="336"/>
      <c r="Q199" s="337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</row>
    <row r="200" spans="1:41" s="135" customFormat="1" ht="18" customHeight="1">
      <c r="A200" s="326"/>
      <c r="B200" s="327"/>
      <c r="C200" s="328"/>
      <c r="D200" s="329"/>
      <c r="E200" s="344"/>
      <c r="F200" s="349"/>
      <c r="G200" s="346"/>
      <c r="H200" s="346"/>
      <c r="I200" s="347"/>
      <c r="J200" s="347"/>
      <c r="K200" s="347"/>
      <c r="L200" s="347"/>
      <c r="M200" s="347"/>
      <c r="N200" s="347"/>
      <c r="O200" s="348"/>
      <c r="P200" s="336"/>
      <c r="Q200" s="337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</row>
    <row r="201" spans="1:41" s="135" customFormat="1" ht="18" customHeight="1">
      <c r="A201" s="351"/>
      <c r="B201" s="327"/>
      <c r="C201" s="328"/>
      <c r="D201" s="329"/>
      <c r="E201" s="344"/>
      <c r="F201" s="339"/>
      <c r="G201" s="346"/>
      <c r="H201" s="346"/>
      <c r="I201" s="347"/>
      <c r="J201" s="347"/>
      <c r="K201" s="347"/>
      <c r="L201" s="347"/>
      <c r="M201" s="347"/>
      <c r="N201" s="347"/>
      <c r="O201" s="348"/>
      <c r="P201" s="336"/>
      <c r="Q201" s="337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</row>
    <row r="202" spans="1:41" s="135" customFormat="1" ht="18" customHeight="1">
      <c r="A202" s="351"/>
      <c r="B202" s="327"/>
      <c r="C202" s="328"/>
      <c r="D202" s="329"/>
      <c r="E202" s="344"/>
      <c r="F202" s="349"/>
      <c r="G202" s="346"/>
      <c r="H202" s="346"/>
      <c r="I202" s="347"/>
      <c r="J202" s="347"/>
      <c r="K202" s="347"/>
      <c r="L202" s="347"/>
      <c r="M202" s="347"/>
      <c r="N202" s="347"/>
      <c r="O202" s="348"/>
      <c r="P202" s="336"/>
      <c r="Q202" s="337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</row>
    <row r="203" spans="1:41" s="135" customFormat="1" ht="18" customHeight="1">
      <c r="A203" s="351"/>
      <c r="B203" s="327"/>
      <c r="C203" s="328"/>
      <c r="D203" s="329"/>
      <c r="E203" s="344"/>
      <c r="F203" s="352"/>
      <c r="G203" s="344"/>
      <c r="H203" s="344"/>
      <c r="I203" s="353"/>
      <c r="J203" s="353"/>
      <c r="K203" s="353"/>
      <c r="L203" s="353"/>
      <c r="M203" s="353"/>
      <c r="N203" s="353"/>
      <c r="O203" s="354"/>
      <c r="P203" s="96"/>
      <c r="Q203" s="97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</row>
    <row r="204" spans="1:41" s="135" customFormat="1" ht="18" customHeight="1">
      <c r="A204" s="351"/>
      <c r="B204" s="327"/>
      <c r="C204" s="328"/>
      <c r="D204" s="329"/>
      <c r="E204" s="344"/>
      <c r="F204" s="352"/>
      <c r="G204" s="344"/>
      <c r="H204" s="344"/>
      <c r="I204" s="353"/>
      <c r="J204" s="353"/>
      <c r="K204" s="353"/>
      <c r="L204" s="353"/>
      <c r="M204" s="353"/>
      <c r="N204" s="353"/>
      <c r="O204" s="354"/>
      <c r="P204" s="96"/>
      <c r="Q204" s="97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</row>
    <row r="205" spans="1:41" s="135" customFormat="1" ht="18" customHeight="1">
      <c r="A205" s="327"/>
      <c r="B205" s="355"/>
      <c r="C205" s="356"/>
      <c r="D205" s="357"/>
      <c r="E205" s="358"/>
      <c r="F205" s="359"/>
      <c r="G205" s="358"/>
      <c r="H205" s="358"/>
      <c r="I205" s="360"/>
      <c r="J205" s="360"/>
      <c r="K205" s="360"/>
      <c r="L205" s="360"/>
      <c r="M205" s="360"/>
      <c r="N205" s="360"/>
      <c r="O205" s="361"/>
      <c r="P205" s="96"/>
      <c r="Q205" s="97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</row>
    <row r="206" spans="1:15" ht="18" customHeight="1">
      <c r="A206" s="362"/>
      <c r="B206" s="363"/>
      <c r="C206" s="363"/>
      <c r="D206" s="338"/>
      <c r="E206" s="364"/>
      <c r="F206" s="365"/>
      <c r="G206" s="364"/>
      <c r="H206" s="364"/>
      <c r="I206" s="366"/>
      <c r="J206" s="366"/>
      <c r="K206" s="366"/>
      <c r="L206" s="366"/>
      <c r="M206" s="366"/>
      <c r="N206" s="366"/>
      <c r="O206" s="367"/>
    </row>
    <row r="207" spans="9:14" ht="18" customHeight="1">
      <c r="I207" s="372"/>
      <c r="J207" s="372"/>
      <c r="K207" s="372"/>
      <c r="L207" s="372"/>
      <c r="M207" s="372"/>
      <c r="N207" s="372"/>
    </row>
    <row r="208" spans="9:14" ht="18" customHeight="1">
      <c r="I208" s="372"/>
      <c r="J208" s="372"/>
      <c r="K208" s="372"/>
      <c r="L208" s="372"/>
      <c r="M208" s="372"/>
      <c r="N208" s="372"/>
    </row>
    <row r="209" spans="9:14" ht="18" customHeight="1">
      <c r="I209" s="372"/>
      <c r="J209" s="372"/>
      <c r="K209" s="372"/>
      <c r="L209" s="372"/>
      <c r="M209" s="372"/>
      <c r="N209" s="372"/>
    </row>
    <row r="210" spans="9:14" ht="18" customHeight="1">
      <c r="I210" s="372"/>
      <c r="J210" s="372"/>
      <c r="K210" s="372"/>
      <c r="L210" s="372"/>
      <c r="M210" s="372"/>
      <c r="N210" s="372"/>
    </row>
    <row r="211" spans="9:14" ht="18" customHeight="1">
      <c r="I211" s="372"/>
      <c r="J211" s="372"/>
      <c r="K211" s="372"/>
      <c r="L211" s="372"/>
      <c r="M211" s="372"/>
      <c r="N211" s="372"/>
    </row>
    <row r="212" spans="2:14" ht="18" customHeight="1">
      <c r="B212" s="373"/>
      <c r="I212" s="372"/>
      <c r="J212" s="372"/>
      <c r="K212" s="372"/>
      <c r="L212" s="372"/>
      <c r="M212" s="372"/>
      <c r="N212" s="372"/>
    </row>
    <row r="213" spans="1:14" ht="18" customHeight="1">
      <c r="A213" s="374"/>
      <c r="I213" s="372"/>
      <c r="J213" s="372"/>
      <c r="K213" s="372"/>
      <c r="L213" s="372"/>
      <c r="M213" s="372"/>
      <c r="N213" s="372"/>
    </row>
    <row r="214" spans="9:14" ht="18" customHeight="1">
      <c r="I214" s="372"/>
      <c r="J214" s="372"/>
      <c r="K214" s="372"/>
      <c r="L214" s="372"/>
      <c r="M214" s="372"/>
      <c r="N214" s="372"/>
    </row>
    <row r="215" spans="9:14" ht="18" customHeight="1">
      <c r="I215" s="372"/>
      <c r="J215" s="372"/>
      <c r="K215" s="372"/>
      <c r="L215" s="372"/>
      <c r="M215" s="372"/>
      <c r="N215" s="372"/>
    </row>
    <row r="216" spans="9:14" ht="18" customHeight="1">
      <c r="I216" s="372"/>
      <c r="J216" s="372"/>
      <c r="K216" s="372"/>
      <c r="L216" s="372"/>
      <c r="M216" s="372"/>
      <c r="N216" s="372"/>
    </row>
    <row r="217" spans="9:14" ht="18" customHeight="1">
      <c r="I217" s="372"/>
      <c r="J217" s="372"/>
      <c r="K217" s="372"/>
      <c r="L217" s="372"/>
      <c r="M217" s="372"/>
      <c r="N217" s="372"/>
    </row>
    <row r="218" spans="9:14" ht="18" customHeight="1">
      <c r="I218" s="372"/>
      <c r="J218" s="372"/>
      <c r="K218" s="372"/>
      <c r="L218" s="372"/>
      <c r="M218" s="372"/>
      <c r="N218" s="372"/>
    </row>
    <row r="219" spans="9:14" ht="18" customHeight="1">
      <c r="I219" s="372"/>
      <c r="J219" s="372"/>
      <c r="K219" s="372"/>
      <c r="L219" s="372"/>
      <c r="M219" s="372"/>
      <c r="N219" s="372"/>
    </row>
    <row r="220" spans="9:14" ht="18" customHeight="1">
      <c r="I220" s="372"/>
      <c r="J220" s="372"/>
      <c r="K220" s="372"/>
      <c r="L220" s="372"/>
      <c r="M220" s="372"/>
      <c r="N220" s="372"/>
    </row>
    <row r="221" spans="9:14" ht="18" customHeight="1">
      <c r="I221" s="372"/>
      <c r="J221" s="372"/>
      <c r="K221" s="372"/>
      <c r="L221" s="372"/>
      <c r="M221" s="372"/>
      <c r="N221" s="372"/>
    </row>
    <row r="222" spans="9:14" ht="18" customHeight="1">
      <c r="I222" s="372"/>
      <c r="J222" s="372"/>
      <c r="K222" s="372"/>
      <c r="L222" s="372"/>
      <c r="M222" s="372"/>
      <c r="N222" s="372"/>
    </row>
    <row r="223" spans="9:14" ht="18" customHeight="1">
      <c r="I223" s="372"/>
      <c r="J223" s="372"/>
      <c r="K223" s="372"/>
      <c r="L223" s="372"/>
      <c r="M223" s="372"/>
      <c r="N223" s="372"/>
    </row>
    <row r="224" spans="9:14" ht="18" customHeight="1">
      <c r="I224" s="372"/>
      <c r="J224" s="372"/>
      <c r="K224" s="372"/>
      <c r="L224" s="372"/>
      <c r="M224" s="372"/>
      <c r="N224" s="372"/>
    </row>
    <row r="225" spans="9:14" ht="18" customHeight="1">
      <c r="I225" s="372"/>
      <c r="J225" s="372"/>
      <c r="K225" s="372"/>
      <c r="L225" s="372"/>
      <c r="M225" s="372"/>
      <c r="N225" s="372"/>
    </row>
    <row r="226" spans="9:14" ht="18" customHeight="1">
      <c r="I226" s="372"/>
      <c r="J226" s="372"/>
      <c r="K226" s="372"/>
      <c r="L226" s="372"/>
      <c r="M226" s="372"/>
      <c r="N226" s="372"/>
    </row>
    <row r="227" spans="9:14" ht="18" customHeight="1">
      <c r="I227" s="372"/>
      <c r="J227" s="372"/>
      <c r="K227" s="372"/>
      <c r="L227" s="372"/>
      <c r="M227" s="372"/>
      <c r="N227" s="372"/>
    </row>
    <row r="228" spans="9:14" ht="18" customHeight="1">
      <c r="I228" s="372"/>
      <c r="J228" s="372"/>
      <c r="K228" s="372"/>
      <c r="L228" s="372"/>
      <c r="M228" s="372"/>
      <c r="N228" s="372"/>
    </row>
    <row r="229" spans="9:14" ht="18" customHeight="1">
      <c r="I229" s="372"/>
      <c r="J229" s="372"/>
      <c r="K229" s="372"/>
      <c r="L229" s="372"/>
      <c r="M229" s="372"/>
      <c r="N229" s="372"/>
    </row>
    <row r="230" spans="9:14" ht="18" customHeight="1">
      <c r="I230" s="372"/>
      <c r="J230" s="372"/>
      <c r="K230" s="372"/>
      <c r="L230" s="372"/>
      <c r="M230" s="372"/>
      <c r="N230" s="372"/>
    </row>
    <row r="231" spans="9:14" ht="18" customHeight="1">
      <c r="I231" s="372"/>
      <c r="J231" s="372"/>
      <c r="K231" s="372"/>
      <c r="L231" s="372"/>
      <c r="M231" s="372"/>
      <c r="N231" s="372"/>
    </row>
    <row r="232" spans="9:14" ht="18" customHeight="1">
      <c r="I232" s="372"/>
      <c r="J232" s="372"/>
      <c r="K232" s="372"/>
      <c r="L232" s="372"/>
      <c r="M232" s="372"/>
      <c r="N232" s="372"/>
    </row>
    <row r="233" spans="9:14" ht="18" customHeight="1">
      <c r="I233" s="372"/>
      <c r="J233" s="372"/>
      <c r="K233" s="372"/>
      <c r="L233" s="372"/>
      <c r="M233" s="372"/>
      <c r="N233" s="372"/>
    </row>
    <row r="234" spans="9:14" ht="18" customHeight="1">
      <c r="I234" s="372"/>
      <c r="J234" s="372"/>
      <c r="K234" s="372"/>
      <c r="L234" s="372"/>
      <c r="M234" s="372"/>
      <c r="N234" s="372"/>
    </row>
    <row r="235" spans="9:14" ht="18" customHeight="1">
      <c r="I235" s="372"/>
      <c r="J235" s="372"/>
      <c r="K235" s="372"/>
      <c r="L235" s="372"/>
      <c r="M235" s="372"/>
      <c r="N235" s="372"/>
    </row>
    <row r="236" spans="9:14" ht="18" customHeight="1">
      <c r="I236" s="372"/>
      <c r="J236" s="372"/>
      <c r="K236" s="372"/>
      <c r="L236" s="372"/>
      <c r="M236" s="372"/>
      <c r="N236" s="372"/>
    </row>
    <row r="237" spans="9:14" ht="18" customHeight="1">
      <c r="I237" s="372"/>
      <c r="J237" s="372"/>
      <c r="K237" s="372"/>
      <c r="L237" s="372"/>
      <c r="M237" s="372"/>
      <c r="N237" s="372"/>
    </row>
    <row r="238" spans="9:14" ht="18" customHeight="1">
      <c r="I238" s="372"/>
      <c r="J238" s="372"/>
      <c r="K238" s="372"/>
      <c r="L238" s="372"/>
      <c r="M238" s="372"/>
      <c r="N238" s="372"/>
    </row>
    <row r="239" spans="9:14" ht="18" customHeight="1">
      <c r="I239" s="372"/>
      <c r="J239" s="372"/>
      <c r="K239" s="372"/>
      <c r="L239" s="372"/>
      <c r="M239" s="372"/>
      <c r="N239" s="372"/>
    </row>
    <row r="240" spans="9:14" ht="18" customHeight="1">
      <c r="I240" s="372"/>
      <c r="J240" s="372"/>
      <c r="K240" s="372"/>
      <c r="L240" s="372"/>
      <c r="M240" s="372"/>
      <c r="N240" s="372"/>
    </row>
    <row r="241" spans="9:14" ht="18" customHeight="1">
      <c r="I241" s="372"/>
      <c r="J241" s="372"/>
      <c r="K241" s="372"/>
      <c r="L241" s="372"/>
      <c r="M241" s="372"/>
      <c r="N241" s="372"/>
    </row>
    <row r="242" spans="9:14" ht="18" customHeight="1">
      <c r="I242" s="372"/>
      <c r="J242" s="372"/>
      <c r="K242" s="372"/>
      <c r="L242" s="372"/>
      <c r="M242" s="372"/>
      <c r="N242" s="372"/>
    </row>
    <row r="243" spans="9:14" ht="18" customHeight="1">
      <c r="I243" s="372"/>
      <c r="J243" s="372"/>
      <c r="K243" s="372"/>
      <c r="L243" s="372"/>
      <c r="M243" s="372"/>
      <c r="N243" s="372"/>
    </row>
    <row r="244" spans="9:14" ht="18" customHeight="1">
      <c r="I244" s="372"/>
      <c r="J244" s="372"/>
      <c r="K244" s="372"/>
      <c r="L244" s="372"/>
      <c r="M244" s="372"/>
      <c r="N244" s="372"/>
    </row>
    <row r="245" spans="9:14" ht="18" customHeight="1">
      <c r="I245" s="372"/>
      <c r="J245" s="372"/>
      <c r="K245" s="372"/>
      <c r="L245" s="372"/>
      <c r="M245" s="372"/>
      <c r="N245" s="372"/>
    </row>
    <row r="246" spans="9:14" ht="18" customHeight="1">
      <c r="I246" s="372"/>
      <c r="J246" s="372"/>
      <c r="K246" s="372"/>
      <c r="L246" s="372"/>
      <c r="M246" s="372"/>
      <c r="N246" s="372"/>
    </row>
    <row r="247" spans="9:14" ht="18" customHeight="1">
      <c r="I247" s="372"/>
      <c r="J247" s="372"/>
      <c r="K247" s="372"/>
      <c r="L247" s="372"/>
      <c r="M247" s="372"/>
      <c r="N247" s="372"/>
    </row>
    <row r="248" spans="9:14" ht="18" customHeight="1">
      <c r="I248" s="372"/>
      <c r="J248" s="372"/>
      <c r="K248" s="372"/>
      <c r="L248" s="372"/>
      <c r="M248" s="372"/>
      <c r="N248" s="372"/>
    </row>
    <row r="249" spans="9:14" ht="18" customHeight="1">
      <c r="I249" s="372"/>
      <c r="J249" s="372"/>
      <c r="K249" s="372"/>
      <c r="L249" s="372"/>
      <c r="M249" s="372"/>
      <c r="N249" s="372"/>
    </row>
    <row r="250" spans="9:14" ht="18" customHeight="1">
      <c r="I250" s="372"/>
      <c r="J250" s="372"/>
      <c r="K250" s="372"/>
      <c r="L250" s="372"/>
      <c r="M250" s="372"/>
      <c r="N250" s="372"/>
    </row>
    <row r="251" spans="9:14" ht="18" customHeight="1">
      <c r="I251" s="372"/>
      <c r="J251" s="372"/>
      <c r="K251" s="372"/>
      <c r="L251" s="372"/>
      <c r="M251" s="372"/>
      <c r="N251" s="372"/>
    </row>
    <row r="252" spans="9:14" ht="18" customHeight="1">
      <c r="I252" s="372"/>
      <c r="J252" s="372"/>
      <c r="K252" s="372"/>
      <c r="L252" s="372"/>
      <c r="M252" s="372"/>
      <c r="N252" s="372"/>
    </row>
    <row r="253" spans="9:14" ht="18" customHeight="1">
      <c r="I253" s="372"/>
      <c r="J253" s="372"/>
      <c r="K253" s="372"/>
      <c r="L253" s="372"/>
      <c r="M253" s="372"/>
      <c r="N253" s="372"/>
    </row>
    <row r="254" spans="9:14" ht="18" customHeight="1">
      <c r="I254" s="372"/>
      <c r="J254" s="372"/>
      <c r="K254" s="372"/>
      <c r="L254" s="372"/>
      <c r="M254" s="372"/>
      <c r="N254" s="372"/>
    </row>
    <row r="255" spans="9:14" ht="18" customHeight="1">
      <c r="I255" s="372"/>
      <c r="J255" s="372"/>
      <c r="K255" s="372"/>
      <c r="L255" s="372"/>
      <c r="M255" s="372"/>
      <c r="N255" s="372"/>
    </row>
    <row r="256" spans="9:14" ht="18" customHeight="1">
      <c r="I256" s="372"/>
      <c r="J256" s="372"/>
      <c r="K256" s="372"/>
      <c r="L256" s="372"/>
      <c r="M256" s="372"/>
      <c r="N256" s="372"/>
    </row>
    <row r="257" spans="9:14" ht="18" customHeight="1">
      <c r="I257" s="372"/>
      <c r="J257" s="372"/>
      <c r="K257" s="372"/>
      <c r="L257" s="372"/>
      <c r="M257" s="372"/>
      <c r="N257" s="372"/>
    </row>
    <row r="258" spans="9:14" ht="18" customHeight="1">
      <c r="I258" s="372"/>
      <c r="J258" s="372"/>
      <c r="K258" s="372"/>
      <c r="L258" s="372"/>
      <c r="M258" s="372"/>
      <c r="N258" s="372"/>
    </row>
    <row r="259" spans="9:14" ht="18" customHeight="1">
      <c r="I259" s="372"/>
      <c r="J259" s="372"/>
      <c r="K259" s="372"/>
      <c r="L259" s="372"/>
      <c r="M259" s="372"/>
      <c r="N259" s="372"/>
    </row>
    <row r="260" spans="9:14" ht="18" customHeight="1">
      <c r="I260" s="372"/>
      <c r="J260" s="372"/>
      <c r="K260" s="372"/>
      <c r="L260" s="372"/>
      <c r="M260" s="372"/>
      <c r="N260" s="372"/>
    </row>
    <row r="261" spans="9:14" ht="18" customHeight="1">
      <c r="I261" s="372"/>
      <c r="J261" s="372"/>
      <c r="K261" s="372"/>
      <c r="L261" s="372"/>
      <c r="M261" s="372"/>
      <c r="N261" s="372"/>
    </row>
    <row r="262" spans="9:14" ht="18" customHeight="1">
      <c r="I262" s="372"/>
      <c r="J262" s="372"/>
      <c r="K262" s="372"/>
      <c r="L262" s="372"/>
      <c r="M262" s="372"/>
      <c r="N262" s="372"/>
    </row>
    <row r="263" spans="9:14" ht="18" customHeight="1">
      <c r="I263" s="372"/>
      <c r="J263" s="372"/>
      <c r="K263" s="372"/>
      <c r="L263" s="372"/>
      <c r="M263" s="372"/>
      <c r="N263" s="372"/>
    </row>
    <row r="264" spans="9:14" ht="18" customHeight="1">
      <c r="I264" s="372"/>
      <c r="J264" s="372"/>
      <c r="K264" s="372"/>
      <c r="L264" s="372"/>
      <c r="M264" s="372"/>
      <c r="N264" s="372"/>
    </row>
    <row r="265" spans="9:14" ht="18" customHeight="1">
      <c r="I265" s="372"/>
      <c r="J265" s="372"/>
      <c r="K265" s="372"/>
      <c r="L265" s="372"/>
      <c r="M265" s="372"/>
      <c r="N265" s="372"/>
    </row>
    <row r="266" spans="9:14" ht="18" customHeight="1">
      <c r="I266" s="372"/>
      <c r="J266" s="372"/>
      <c r="K266" s="372"/>
      <c r="L266" s="372"/>
      <c r="M266" s="372"/>
      <c r="N266" s="372"/>
    </row>
    <row r="267" spans="9:14" ht="18" customHeight="1">
      <c r="I267" s="372"/>
      <c r="J267" s="372"/>
      <c r="K267" s="372"/>
      <c r="L267" s="372"/>
      <c r="M267" s="372"/>
      <c r="N267" s="372"/>
    </row>
    <row r="268" spans="9:14" ht="18" customHeight="1">
      <c r="I268" s="372"/>
      <c r="J268" s="372"/>
      <c r="K268" s="372"/>
      <c r="L268" s="372"/>
      <c r="M268" s="372"/>
      <c r="N268" s="372"/>
    </row>
    <row r="269" ht="18" customHeight="1"/>
    <row r="270" ht="18" customHeight="1"/>
    <row r="271" ht="18" customHeight="1"/>
    <row r="272" ht="18" customHeight="1"/>
    <row r="273" ht="18" customHeight="1"/>
  </sheetData>
  <sheetProtection/>
  <mergeCells count="13">
    <mergeCell ref="A6:A7"/>
    <mergeCell ref="B6:B7"/>
    <mergeCell ref="C6:C7"/>
    <mergeCell ref="D6:D7"/>
    <mergeCell ref="E6:E7"/>
    <mergeCell ref="I6:M6"/>
    <mergeCell ref="N6:N7"/>
    <mergeCell ref="O6:O7"/>
    <mergeCell ref="B4:O4"/>
    <mergeCell ref="H5:O5"/>
    <mergeCell ref="F6:F7"/>
    <mergeCell ref="G6:G7"/>
    <mergeCell ref="H6:H7"/>
  </mergeCells>
  <printOptions/>
  <pageMargins left="0.5" right="0" top="0.25" bottom="0" header="0.35" footer="0.2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Tranglk</dc:creator>
  <cp:keywords/>
  <dc:description/>
  <cp:lastModifiedBy>User</cp:lastModifiedBy>
  <cp:lastPrinted>2015-11-23T09:15:08Z</cp:lastPrinted>
  <dcterms:created xsi:type="dcterms:W3CDTF">2008-11-13T10:38:09Z</dcterms:created>
  <dcterms:modified xsi:type="dcterms:W3CDTF">2016-12-05T05:00:55Z</dcterms:modified>
  <cp:category/>
  <cp:version/>
  <cp:contentType/>
  <cp:contentStatus/>
</cp:coreProperties>
</file>